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J:\My Drive\Coaching Folders\Student Material\Excel Docs\"/>
    </mc:Choice>
  </mc:AlternateContent>
  <xr:revisionPtr revIDLastSave="0" documentId="13_ncr:1_{E7469D98-AD12-4DB2-976F-C38C88C03EFF}" xr6:coauthVersionLast="47" xr6:coauthVersionMax="47" xr10:uidLastSave="{00000000-0000-0000-0000-000000000000}"/>
  <bookViews>
    <workbookView xWindow="-120" yWindow="-120" windowWidth="29040" windowHeight="15840" xr2:uid="{679AD79C-2FB9-4654-8965-8B43AAF0B549}"/>
  </bookViews>
  <sheets>
    <sheet name="Input-Output Data" sheetId="4" r:id="rId1"/>
    <sheet name="Sheet1" sheetId="3" state="hidden" r:id="rId2"/>
    <sheet name="BuyHold1-15" sheetId="2" r:id="rId3"/>
    <sheet name="BuyHold16-30" sheetId="6" r:id="rId4"/>
    <sheet name="BuyHold" sheetId="1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2" i="2" l="1"/>
  <c r="B34" i="4"/>
  <c r="B33" i="4"/>
  <c r="B24" i="6"/>
  <c r="B24" i="2"/>
  <c r="E24" i="2" s="1"/>
  <c r="B13" i="4"/>
  <c r="B5" i="4"/>
  <c r="B9" i="4"/>
  <c r="B11" i="6"/>
  <c r="B10" i="6"/>
  <c r="B9" i="6"/>
  <c r="Q9" i="6"/>
  <c r="B8" i="6"/>
  <c r="B7" i="6"/>
  <c r="B6" i="6"/>
  <c r="B5" i="6"/>
  <c r="B4" i="6"/>
  <c r="B23" i="6"/>
  <c r="L23" i="6" s="1"/>
  <c r="B23" i="2"/>
  <c r="L23" i="2" s="1"/>
  <c r="L24" i="6"/>
  <c r="B17" i="6"/>
  <c r="C17" i="6" s="1"/>
  <c r="D17" i="6" s="1"/>
  <c r="E17" i="6" s="1"/>
  <c r="F17" i="6" s="1"/>
  <c r="G17" i="6" s="1"/>
  <c r="H17" i="6" s="1"/>
  <c r="B16" i="6"/>
  <c r="E16" i="6" s="1"/>
  <c r="B15" i="6"/>
  <c r="H15" i="6" s="1"/>
  <c r="B14" i="6"/>
  <c r="K14" i="6" s="1"/>
  <c r="B17" i="2"/>
  <c r="C17" i="2" s="1"/>
  <c r="D17" i="2" s="1"/>
  <c r="E17" i="2" s="1"/>
  <c r="F17" i="2" s="1"/>
  <c r="G17" i="2" s="1"/>
  <c r="H17" i="2" s="1"/>
  <c r="I17" i="2" s="1"/>
  <c r="J17" i="2" s="1"/>
  <c r="K17" i="2" s="1"/>
  <c r="L17" i="2" s="1"/>
  <c r="M17" i="2" s="1"/>
  <c r="N17" i="2" s="1"/>
  <c r="O17" i="2" s="1"/>
  <c r="B16" i="2"/>
  <c r="H16" i="2" s="1"/>
  <c r="B15" i="2"/>
  <c r="K15" i="2" s="1"/>
  <c r="B14" i="2"/>
  <c r="L14" i="2" s="1"/>
  <c r="O4" i="1"/>
  <c r="O5" i="1"/>
  <c r="O6" i="1"/>
  <c r="O3" i="1"/>
  <c r="B17" i="4" l="1"/>
  <c r="D25" i="2"/>
  <c r="C25" i="2"/>
  <c r="C26" i="2" s="1"/>
  <c r="F25" i="2"/>
  <c r="F26" i="2" s="1"/>
  <c r="B18" i="4"/>
  <c r="G25" i="6" s="1"/>
  <c r="G26" i="6" s="1"/>
  <c r="H23" i="2"/>
  <c r="M23" i="2"/>
  <c r="G23" i="6"/>
  <c r="H23" i="6"/>
  <c r="F23" i="6"/>
  <c r="N23" i="6"/>
  <c r="G23" i="2"/>
  <c r="N14" i="6"/>
  <c r="N23" i="2"/>
  <c r="M23" i="6"/>
  <c r="O14" i="6"/>
  <c r="P14" i="2"/>
  <c r="O23" i="2"/>
  <c r="N16" i="2"/>
  <c r="N18" i="2" s="1"/>
  <c r="P23" i="2"/>
  <c r="O23" i="6"/>
  <c r="M14" i="6"/>
  <c r="O16" i="2"/>
  <c r="O18" i="2" s="1"/>
  <c r="E23" i="2"/>
  <c r="P23" i="6"/>
  <c r="P16" i="2"/>
  <c r="F23" i="2"/>
  <c r="E23" i="6"/>
  <c r="P15" i="6"/>
  <c r="O24" i="2"/>
  <c r="Q15" i="6"/>
  <c r="Q14" i="2"/>
  <c r="P24" i="2"/>
  <c r="O24" i="6"/>
  <c r="Q24" i="2"/>
  <c r="K24" i="6"/>
  <c r="P14" i="6"/>
  <c r="Q16" i="2"/>
  <c r="D14" i="6"/>
  <c r="G16" i="6"/>
  <c r="Q14" i="6"/>
  <c r="O16" i="6"/>
  <c r="Q24" i="6"/>
  <c r="O15" i="2"/>
  <c r="I23" i="2"/>
  <c r="Q23" i="2"/>
  <c r="I23" i="6"/>
  <c r="Q23" i="6"/>
  <c r="M24" i="6"/>
  <c r="F24" i="2"/>
  <c r="I24" i="2"/>
  <c r="M16" i="6"/>
  <c r="N16" i="6"/>
  <c r="E14" i="6"/>
  <c r="H16" i="6"/>
  <c r="H18" i="6" s="1"/>
  <c r="M15" i="6"/>
  <c r="P16" i="6"/>
  <c r="M14" i="2"/>
  <c r="P15" i="2"/>
  <c r="J23" i="2"/>
  <c r="J23" i="6"/>
  <c r="I15" i="6"/>
  <c r="H24" i="6"/>
  <c r="F16" i="6"/>
  <c r="F18" i="6" s="1"/>
  <c r="P24" i="6"/>
  <c r="F14" i="6"/>
  <c r="I16" i="6"/>
  <c r="N15" i="6"/>
  <c r="Q16" i="6"/>
  <c r="N14" i="2"/>
  <c r="Q15" i="2"/>
  <c r="M24" i="2"/>
  <c r="C23" i="2"/>
  <c r="K23" i="2"/>
  <c r="C23" i="6"/>
  <c r="K23" i="6"/>
  <c r="E24" i="6"/>
  <c r="N24" i="6"/>
  <c r="M15" i="2"/>
  <c r="N15" i="2"/>
  <c r="L14" i="6"/>
  <c r="O15" i="6"/>
  <c r="O14" i="2"/>
  <c r="M16" i="2"/>
  <c r="N24" i="2"/>
  <c r="D23" i="2"/>
  <c r="D23" i="6"/>
  <c r="P17" i="2"/>
  <c r="D15" i="2"/>
  <c r="G24" i="2"/>
  <c r="E15" i="2"/>
  <c r="H24" i="2"/>
  <c r="C24" i="2"/>
  <c r="K24" i="2"/>
  <c r="D24" i="2"/>
  <c r="L24" i="2"/>
  <c r="F15" i="2"/>
  <c r="G15" i="2"/>
  <c r="J24" i="2"/>
  <c r="H15" i="2"/>
  <c r="L15" i="2"/>
  <c r="L16" i="6"/>
  <c r="C24" i="6"/>
  <c r="G18" i="6"/>
  <c r="F24" i="6"/>
  <c r="D16" i="6"/>
  <c r="D18" i="6" s="1"/>
  <c r="B18" i="6"/>
  <c r="G24" i="6"/>
  <c r="E18" i="6"/>
  <c r="I17" i="6"/>
  <c r="J15" i="6"/>
  <c r="K15" i="6"/>
  <c r="C15" i="6"/>
  <c r="G14" i="6"/>
  <c r="L15" i="6"/>
  <c r="H14" i="6"/>
  <c r="E15" i="6"/>
  <c r="J16" i="6"/>
  <c r="I24" i="6"/>
  <c r="D15" i="6"/>
  <c r="I14" i="6"/>
  <c r="F15" i="6"/>
  <c r="C16" i="6"/>
  <c r="K16" i="6"/>
  <c r="J24" i="6"/>
  <c r="J14" i="6"/>
  <c r="G15" i="6"/>
  <c r="C14" i="6"/>
  <c r="D24" i="6"/>
  <c r="J16" i="2"/>
  <c r="C16" i="2"/>
  <c r="E16" i="2"/>
  <c r="D16" i="2"/>
  <c r="K16" i="2"/>
  <c r="D14" i="2"/>
  <c r="I15" i="2"/>
  <c r="F16" i="2"/>
  <c r="J15" i="2"/>
  <c r="G16" i="2"/>
  <c r="I16" i="2"/>
  <c r="I18" i="2" s="1"/>
  <c r="L16" i="2"/>
  <c r="C15" i="2"/>
  <c r="E14" i="2"/>
  <c r="F14" i="2"/>
  <c r="G14" i="2"/>
  <c r="H14" i="2"/>
  <c r="I14" i="2"/>
  <c r="J14" i="2"/>
  <c r="C14" i="2"/>
  <c r="C3" i="2" s="1"/>
  <c r="C12" i="2" s="1"/>
  <c r="K14" i="2"/>
  <c r="D26" i="2"/>
  <c r="B19" i="2"/>
  <c r="O7" i="1"/>
  <c r="C18" i="1"/>
  <c r="O18" i="1" s="1"/>
  <c r="O20" i="1" s="1"/>
  <c r="G18" i="1"/>
  <c r="G20" i="1" s="1"/>
  <c r="F18" i="1"/>
  <c r="F20" i="1" s="1"/>
  <c r="E18" i="1"/>
  <c r="E20" i="1" s="1"/>
  <c r="D18" i="1"/>
  <c r="D20" i="1" s="1"/>
  <c r="B18" i="1"/>
  <c r="C3" i="1"/>
  <c r="D3" i="1" s="1"/>
  <c r="D17" i="1" s="1"/>
  <c r="B12" i="1"/>
  <c r="G25" i="2" l="1"/>
  <c r="G26" i="2" s="1"/>
  <c r="B25" i="2"/>
  <c r="B26" i="2" s="1"/>
  <c r="E25" i="2"/>
  <c r="E26" i="2" s="1"/>
  <c r="R26" i="2" s="1"/>
  <c r="L25" i="2"/>
  <c r="L26" i="2" s="1"/>
  <c r="N25" i="6"/>
  <c r="N26" i="6" s="1"/>
  <c r="M25" i="2"/>
  <c r="M26" i="2" s="1"/>
  <c r="O25" i="6"/>
  <c r="O26" i="6" s="1"/>
  <c r="E25" i="6"/>
  <c r="E26" i="6" s="1"/>
  <c r="D25" i="6"/>
  <c r="D26" i="6" s="1"/>
  <c r="M25" i="6"/>
  <c r="M26" i="6" s="1"/>
  <c r="B25" i="6"/>
  <c r="B26" i="6" s="1"/>
  <c r="L25" i="6"/>
  <c r="L26" i="6" s="1"/>
  <c r="P25" i="2"/>
  <c r="P26" i="2" s="1"/>
  <c r="N25" i="2"/>
  <c r="N26" i="2" s="1"/>
  <c r="J25" i="6"/>
  <c r="J26" i="6" s="1"/>
  <c r="K25" i="6"/>
  <c r="K26" i="6" s="1"/>
  <c r="Q25" i="2"/>
  <c r="Q26" i="2" s="1"/>
  <c r="C25" i="6"/>
  <c r="C26" i="6" s="1"/>
  <c r="I25" i="6"/>
  <c r="I26" i="6" s="1"/>
  <c r="O25" i="2"/>
  <c r="O26" i="2" s="1"/>
  <c r="J25" i="2"/>
  <c r="J26" i="2" s="1"/>
  <c r="H25" i="2"/>
  <c r="H26" i="2" s="1"/>
  <c r="H25" i="6"/>
  <c r="H26" i="6" s="1"/>
  <c r="Q25" i="6"/>
  <c r="Q26" i="6" s="1"/>
  <c r="I25" i="2"/>
  <c r="I26" i="2" s="1"/>
  <c r="P25" i="6"/>
  <c r="P26" i="6" s="1"/>
  <c r="K25" i="2"/>
  <c r="K26" i="2" s="1"/>
  <c r="F25" i="6"/>
  <c r="F26" i="6" s="1"/>
  <c r="M18" i="2"/>
  <c r="P18" i="2"/>
  <c r="Q17" i="2"/>
  <c r="Q18" i="2" s="1"/>
  <c r="J17" i="6"/>
  <c r="K17" i="6" s="1"/>
  <c r="L17" i="6" s="1"/>
  <c r="I18" i="6"/>
  <c r="C18" i="6"/>
  <c r="J18" i="2"/>
  <c r="C18" i="2"/>
  <c r="C20" i="2" s="1"/>
  <c r="C28" i="2" s="1"/>
  <c r="H18" i="2"/>
  <c r="D18" i="2"/>
  <c r="L18" i="2"/>
  <c r="K18" i="2"/>
  <c r="F18" i="2"/>
  <c r="E18" i="2"/>
  <c r="B18" i="2"/>
  <c r="B20" i="2" s="1"/>
  <c r="C19" i="2"/>
  <c r="G18" i="2"/>
  <c r="D3" i="2"/>
  <c r="O8" i="1"/>
  <c r="D21" i="1"/>
  <c r="C20" i="1"/>
  <c r="C17" i="1"/>
  <c r="E3" i="1"/>
  <c r="E17" i="1" s="1"/>
  <c r="E21" i="1" s="1"/>
  <c r="D12" i="1"/>
  <c r="C12" i="1"/>
  <c r="D19" i="2" l="1"/>
  <c r="D12" i="2"/>
  <c r="C21" i="1"/>
  <c r="R26" i="6"/>
  <c r="B32" i="4" s="1"/>
  <c r="B31" i="4"/>
  <c r="L18" i="6"/>
  <c r="M17" i="6"/>
  <c r="J18" i="6"/>
  <c r="K18" i="6"/>
  <c r="D20" i="2"/>
  <c r="D28" i="2" s="1"/>
  <c r="E3" i="2"/>
  <c r="E12" i="1"/>
  <c r="F3" i="1"/>
  <c r="F17" i="1" s="1"/>
  <c r="F21" i="1" s="1"/>
  <c r="E19" i="2" l="1"/>
  <c r="E12" i="2"/>
  <c r="N17" i="6"/>
  <c r="M18" i="6"/>
  <c r="E20" i="2"/>
  <c r="E28" i="2" s="1"/>
  <c r="F3" i="2"/>
  <c r="F12" i="1"/>
  <c r="G3" i="1"/>
  <c r="F19" i="2" l="1"/>
  <c r="F12" i="2"/>
  <c r="O17" i="6"/>
  <c r="N18" i="6"/>
  <c r="G3" i="2"/>
  <c r="F20" i="2"/>
  <c r="F28" i="2" s="1"/>
  <c r="H3" i="1"/>
  <c r="G17" i="1"/>
  <c r="G21" i="1" s="1"/>
  <c r="G12" i="1"/>
  <c r="G19" i="2" l="1"/>
  <c r="G12" i="2"/>
  <c r="P17" i="6"/>
  <c r="O18" i="6"/>
  <c r="H3" i="2"/>
  <c r="G20" i="2"/>
  <c r="G28" i="2" s="1"/>
  <c r="B23" i="1"/>
  <c r="I3" i="1"/>
  <c r="H17" i="1"/>
  <c r="H21" i="1" s="1"/>
  <c r="H12" i="1"/>
  <c r="H19" i="2" l="1"/>
  <c r="H12" i="2"/>
  <c r="Q17" i="6"/>
  <c r="Q18" i="6" s="1"/>
  <c r="P18" i="6"/>
  <c r="H20" i="2"/>
  <c r="H28" i="2" s="1"/>
  <c r="I3" i="2"/>
  <c r="I17" i="1"/>
  <c r="I21" i="1" s="1"/>
  <c r="J3" i="1"/>
  <c r="I12" i="1"/>
  <c r="I19" i="2" l="1"/>
  <c r="I12" i="2"/>
  <c r="I20" i="2"/>
  <c r="I28" i="2" s="1"/>
  <c r="J3" i="2"/>
  <c r="J17" i="1"/>
  <c r="J21" i="1" s="1"/>
  <c r="K3" i="1"/>
  <c r="J12" i="1"/>
  <c r="J19" i="2" l="1"/>
  <c r="J12" i="2"/>
  <c r="J20" i="2"/>
  <c r="J28" i="2" s="1"/>
  <c r="K3" i="2"/>
  <c r="K12" i="2" s="1"/>
  <c r="K17" i="1"/>
  <c r="K21" i="1" s="1"/>
  <c r="L3" i="1"/>
  <c r="K12" i="1"/>
  <c r="K20" i="2" l="1"/>
  <c r="K28" i="2" s="1"/>
  <c r="K19" i="2"/>
  <c r="L3" i="2"/>
  <c r="L17" i="1"/>
  <c r="L21" i="1" s="1"/>
  <c r="B24" i="1" s="1"/>
  <c r="L12" i="1"/>
  <c r="M3" i="2" l="1"/>
  <c r="M12" i="2" s="1"/>
  <c r="L12" i="2"/>
  <c r="N3" i="2"/>
  <c r="N12" i="2" s="1"/>
  <c r="M19" i="2"/>
  <c r="M20" i="2"/>
  <c r="M28" i="2" s="1"/>
  <c r="L19" i="2"/>
  <c r="L20" i="2"/>
  <c r="L28" i="2" s="1"/>
  <c r="N19" i="2" l="1"/>
  <c r="O3" i="2"/>
  <c r="O12" i="2" s="1"/>
  <c r="N20" i="2"/>
  <c r="N28" i="2" s="1"/>
  <c r="O20" i="2" l="1"/>
  <c r="O28" i="2" s="1"/>
  <c r="O19" i="2"/>
  <c r="P3" i="2"/>
  <c r="P12" i="2" s="1"/>
  <c r="P20" i="2" l="1"/>
  <c r="P28" i="2" s="1"/>
  <c r="P19" i="2"/>
  <c r="Q3" i="2"/>
  <c r="Q12" i="2" s="1"/>
  <c r="B3" i="6" l="1"/>
  <c r="B12" i="6" s="1"/>
  <c r="C3" i="6"/>
  <c r="C12" i="6" s="1"/>
  <c r="Q19" i="2"/>
  <c r="B28" i="4"/>
  <c r="D28" i="4" s="1"/>
  <c r="Q20" i="2"/>
  <c r="B20" i="6" l="1"/>
  <c r="Q28" i="2"/>
  <c r="R28" i="2" s="1"/>
  <c r="B24" i="4" s="1"/>
  <c r="D24" i="4" s="1"/>
  <c r="C19" i="6"/>
  <c r="D3" i="6"/>
  <c r="D12" i="6" s="1"/>
  <c r="C20" i="6"/>
  <c r="C28" i="6" s="1"/>
  <c r="B19" i="6"/>
  <c r="E3" i="6" l="1"/>
  <c r="E12" i="6" s="1"/>
  <c r="D20" i="6"/>
  <c r="D28" i="6" s="1"/>
  <c r="D19" i="6"/>
  <c r="E20" i="6" l="1"/>
  <c r="E28" i="6" s="1"/>
  <c r="E19" i="6"/>
  <c r="F3" i="6"/>
  <c r="F12" i="6" s="1"/>
  <c r="G3" i="6" l="1"/>
  <c r="G12" i="6" s="1"/>
  <c r="F20" i="6"/>
  <c r="F28" i="6" s="1"/>
  <c r="F19" i="6"/>
  <c r="G19" i="6" l="1"/>
  <c r="H3" i="6"/>
  <c r="H12" i="6" s="1"/>
  <c r="G20" i="6"/>
  <c r="G28" i="6" s="1"/>
  <c r="I3" i="6" l="1"/>
  <c r="I12" i="6" s="1"/>
  <c r="H20" i="6"/>
  <c r="H28" i="6" s="1"/>
  <c r="H19" i="6"/>
  <c r="I20" i="6" l="1"/>
  <c r="I28" i="6" s="1"/>
  <c r="J3" i="6"/>
  <c r="J12" i="6" s="1"/>
  <c r="I19" i="6"/>
  <c r="J20" i="6" l="1"/>
  <c r="J28" i="6" s="1"/>
  <c r="K3" i="6"/>
  <c r="K12" i="6" s="1"/>
  <c r="J19" i="6"/>
  <c r="L3" i="6" l="1"/>
  <c r="L12" i="6" s="1"/>
  <c r="K20" i="6"/>
  <c r="K28" i="6" s="1"/>
  <c r="K19" i="6"/>
  <c r="M3" i="6" l="1"/>
  <c r="M12" i="6" s="1"/>
  <c r="L20" i="6"/>
  <c r="L28" i="6" s="1"/>
  <c r="L19" i="6"/>
  <c r="N3" i="6" l="1"/>
  <c r="N12" i="6" s="1"/>
  <c r="M20" i="6"/>
  <c r="M28" i="6" s="1"/>
  <c r="M19" i="6"/>
  <c r="N19" i="6" l="1"/>
  <c r="O3" i="6"/>
  <c r="O12" i="6" s="1"/>
  <c r="N20" i="6"/>
  <c r="N28" i="6" s="1"/>
  <c r="P3" i="6" l="1"/>
  <c r="P12" i="6" s="1"/>
  <c r="O20" i="6"/>
  <c r="O28" i="6" s="1"/>
  <c r="O19" i="6"/>
  <c r="P20" i="6" l="1"/>
  <c r="P28" i="6" s="1"/>
  <c r="Q3" i="6"/>
  <c r="Q12" i="6" s="1"/>
  <c r="P19" i="6"/>
  <c r="Q19" i="6" l="1"/>
  <c r="Q20" i="6"/>
  <c r="Q28" i="6" s="1"/>
  <c r="B29" i="4"/>
  <c r="D29" i="4" s="1"/>
  <c r="R28" i="6" l="1"/>
  <c r="B25" i="4" s="1"/>
  <c r="B15" i="4"/>
  <c r="D25" i="4" l="1"/>
  <c r="B26" i="4"/>
  <c r="D26" i="4" l="1"/>
  <c r="B36" i="4"/>
</calcChain>
</file>

<file path=xl/sharedStrings.xml><?xml version="1.0" encoding="utf-8"?>
<sst xmlns="http://schemas.openxmlformats.org/spreadsheetml/2006/main" count="200" uniqueCount="106">
  <si>
    <t>Manufactured Growth</t>
  </si>
  <si>
    <t>Cashflow</t>
  </si>
  <si>
    <t>Natural Growth %</t>
  </si>
  <si>
    <t xml:space="preserve"> </t>
  </si>
  <si>
    <t>EQUITY IN PROPERTY</t>
  </si>
  <si>
    <t>Draw Down</t>
  </si>
  <si>
    <t>Principal Payment</t>
  </si>
  <si>
    <t>Holding Cost</t>
  </si>
  <si>
    <t>Strategy Cost</t>
  </si>
  <si>
    <t>Stamp Duty/Legals</t>
  </si>
  <si>
    <t>Deposit</t>
  </si>
  <si>
    <t>Loan</t>
  </si>
  <si>
    <t>Value</t>
  </si>
  <si>
    <t>Year 5</t>
  </si>
  <si>
    <t>Year 4</t>
  </si>
  <si>
    <t>Year 3</t>
  </si>
  <si>
    <t>Year 2</t>
  </si>
  <si>
    <t>Year 1</t>
  </si>
  <si>
    <t>Start</t>
  </si>
  <si>
    <t>BUY-HOLD PROJECTION</t>
  </si>
  <si>
    <t>Annual Principal Payment</t>
  </si>
  <si>
    <t>Year 6</t>
  </si>
  <si>
    <t>Annual Net Income</t>
  </si>
  <si>
    <t>Year 7</t>
  </si>
  <si>
    <t>Year 8</t>
  </si>
  <si>
    <t>Year 9</t>
  </si>
  <si>
    <t>Year 10</t>
  </si>
  <si>
    <t>Annual Net Rental Yield</t>
  </si>
  <si>
    <t>Annual Interest Rate</t>
  </si>
  <si>
    <t>Annual Interest Payable</t>
  </si>
  <si>
    <t>TOTAL INT</t>
  </si>
  <si>
    <t>TOTAL PRINCIPAL</t>
  </si>
  <si>
    <t>TOTAL PAYMENTS</t>
  </si>
  <si>
    <t>Total P &amp; I Payment</t>
  </si>
  <si>
    <t>Shortfall over 10 Years</t>
  </si>
  <si>
    <t>GROSS PROFIT</t>
  </si>
  <si>
    <t>NET PROFIT</t>
  </si>
  <si>
    <t>Shortfall over 5 Years</t>
  </si>
  <si>
    <t>ANNUAL INTEREST RATE</t>
  </si>
  <si>
    <t>NATURAL GROWTH</t>
  </si>
  <si>
    <t>Annual Gross Income</t>
  </si>
  <si>
    <t>Annual Gross Rental Yield</t>
  </si>
  <si>
    <t>Annual Expenses %</t>
  </si>
  <si>
    <t>GROSS  RENTAL YIELD</t>
  </si>
  <si>
    <t>ANNUAL EXPENSES %</t>
  </si>
  <si>
    <t>Loan Type</t>
  </si>
  <si>
    <t>Int Only</t>
  </si>
  <si>
    <t>P &amp; I</t>
  </si>
  <si>
    <t>Years</t>
  </si>
  <si>
    <t>Total Annual Loan Payment</t>
  </si>
  <si>
    <t>Total Monthly Loan Payment</t>
  </si>
  <si>
    <t>Interest Rate</t>
  </si>
  <si>
    <t>Loan Years</t>
  </si>
  <si>
    <t>MONTHLY INT ONLY PAYMENT</t>
  </si>
  <si>
    <t>MONTHLY P &amp; I PAYMENT</t>
  </si>
  <si>
    <t>Year 30</t>
  </si>
  <si>
    <t>LOAN TYPE</t>
  </si>
  <si>
    <t>Year 16</t>
  </si>
  <si>
    <t>Year 17</t>
  </si>
  <si>
    <t>Year 18</t>
  </si>
  <si>
    <t>Year 19</t>
  </si>
  <si>
    <t>Year 20</t>
  </si>
  <si>
    <t>Year 21</t>
  </si>
  <si>
    <t>Year 22</t>
  </si>
  <si>
    <t>Year 23</t>
  </si>
  <si>
    <t>Year 24</t>
  </si>
  <si>
    <t>Year 25</t>
  </si>
  <si>
    <t>BUY-HOLD PROJECTION 16 - 30</t>
  </si>
  <si>
    <t>BUY-HOLD PROJECTION 1 - 15</t>
  </si>
  <si>
    <t>Year 26</t>
  </si>
  <si>
    <t>Year 27</t>
  </si>
  <si>
    <t>Year 28</t>
  </si>
  <si>
    <t>Year 29</t>
  </si>
  <si>
    <t>Year 11</t>
  </si>
  <si>
    <t>Year 12</t>
  </si>
  <si>
    <t>Year 13</t>
  </si>
  <si>
    <t>Year 14</t>
  </si>
  <si>
    <t>Year 15</t>
  </si>
  <si>
    <t>TOTAL CASHFLOW OVER LOAN PERIOD</t>
  </si>
  <si>
    <t>Total CashFlow over Loan Years 1 - 15</t>
  </si>
  <si>
    <t>Total Cashflow over Loan Years 16 - 30</t>
  </si>
  <si>
    <t>Total Equity in property at 15 years</t>
  </si>
  <si>
    <t>Total Equity in property at 30 years</t>
  </si>
  <si>
    <t>C/O Year15</t>
  </si>
  <si>
    <t>TOTAL Repayments  over Loan Period</t>
  </si>
  <si>
    <t>TOTAL Repayments  over Loan Period 1 - 15</t>
  </si>
  <si>
    <t>TOTAL Repayments  over Loan Period 16 - 30</t>
  </si>
  <si>
    <t>TOTAL Interest Repayments  over Loan Period</t>
  </si>
  <si>
    <t>PURCHASE PRICE</t>
  </si>
  <si>
    <t>LVR</t>
  </si>
  <si>
    <t>STAMP DUTY/LEGALS</t>
  </si>
  <si>
    <t>LOAN AMOUNT</t>
  </si>
  <si>
    <t>P</t>
  </si>
  <si>
    <t>i</t>
  </si>
  <si>
    <t>NUMBER OF PAYMENTS</t>
  </si>
  <si>
    <t>n</t>
  </si>
  <si>
    <t>INTEREST RATE PER MONTH</t>
  </si>
  <si>
    <t>LOAN YEARS P &amp; I</t>
  </si>
  <si>
    <t>LOAN YEARS Interest only</t>
  </si>
  <si>
    <t>TOTAL LOAN YEARS</t>
  </si>
  <si>
    <t>Visit Repayments Calculator to Check the repayment figures</t>
  </si>
  <si>
    <t>START HERE</t>
  </si>
  <si>
    <t xml:space="preserve">PERFORMANCE FIGURES </t>
  </si>
  <si>
    <t>LOSS</t>
  </si>
  <si>
    <t>OVERALL GAIN BEFORE TAX</t>
  </si>
  <si>
    <t>PROFIT EX TAX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</si>
</sst>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$&quot;#,##0"/>
    <numFmt numFmtId="165" formatCode="0.0%"/>
    <numFmt numFmtId="166" formatCode="0.000000%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4"/>
      <color theme="1"/>
      <name val="Arial"/>
      <family val="2"/>
    </font>
    <font>
      <b/>
      <sz val="11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3">
    <xf numFmtId="0" fontId="0" fillId="0" borderId="0" xfId="0"/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164" fontId="0" fillId="2" borderId="0" xfId="0" applyNumberFormat="1" applyFill="1" applyAlignment="1">
      <alignment horizontal="center" vertical="center"/>
    </xf>
    <xf numFmtId="0" fontId="0" fillId="2" borderId="0" xfId="0" applyFill="1"/>
    <xf numFmtId="0" fontId="2" fillId="0" borderId="0" xfId="0" applyFont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0" fontId="0" fillId="3" borderId="0" xfId="0" applyFill="1" applyAlignment="1">
      <alignment horizontal="center"/>
    </xf>
    <xf numFmtId="164" fontId="0" fillId="3" borderId="0" xfId="0" applyNumberFormat="1" applyFill="1" applyAlignment="1">
      <alignment horizontal="center" vertical="center"/>
    </xf>
    <xf numFmtId="164" fontId="1" fillId="0" borderId="5" xfId="0" applyNumberFormat="1" applyFon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64" fontId="0" fillId="0" borderId="5" xfId="0" applyNumberFormat="1" applyBorder="1" applyAlignment="1">
      <alignment vertical="center"/>
    </xf>
    <xf numFmtId="164" fontId="1" fillId="0" borderId="6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2" borderId="0" xfId="0" applyFill="1" applyAlignment="1">
      <alignment horizontal="center"/>
    </xf>
    <xf numFmtId="165" fontId="0" fillId="2" borderId="0" xfId="0" applyNumberFormat="1" applyFill="1" applyAlignment="1">
      <alignment horizontal="center" vertical="center"/>
    </xf>
    <xf numFmtId="10" fontId="0" fillId="2" borderId="0" xfId="0" applyNumberFormat="1" applyFill="1" applyAlignment="1">
      <alignment horizontal="center" vertical="center"/>
    </xf>
    <xf numFmtId="164" fontId="0" fillId="0" borderId="10" xfId="0" applyNumberFormat="1" applyBorder="1" applyAlignment="1">
      <alignment horizontal="center" vertical="center"/>
    </xf>
    <xf numFmtId="164" fontId="0" fillId="0" borderId="13" xfId="0" applyNumberFormat="1" applyBorder="1" applyAlignment="1">
      <alignment horizontal="center" vertical="center"/>
    </xf>
    <xf numFmtId="0" fontId="0" fillId="0" borderId="14" xfId="0" applyBorder="1"/>
    <xf numFmtId="164" fontId="0" fillId="0" borderId="15" xfId="0" applyNumberFormat="1" applyBorder="1" applyAlignment="1">
      <alignment horizontal="center" vertical="center"/>
    </xf>
    <xf numFmtId="0" fontId="0" fillId="0" borderId="16" xfId="0" applyBorder="1"/>
    <xf numFmtId="164" fontId="0" fillId="0" borderId="17" xfId="0" applyNumberFormat="1" applyBorder="1" applyAlignment="1">
      <alignment horizontal="center" vertical="center"/>
    </xf>
    <xf numFmtId="164" fontId="0" fillId="0" borderId="18" xfId="0" applyNumberFormat="1" applyBorder="1" applyAlignment="1">
      <alignment horizontal="center" vertical="center"/>
    </xf>
    <xf numFmtId="0" fontId="0" fillId="2" borderId="7" xfId="0" applyFill="1" applyBorder="1"/>
    <xf numFmtId="164" fontId="0" fillId="2" borderId="9" xfId="0" applyNumberFormat="1" applyFill="1" applyBorder="1" applyAlignment="1">
      <alignment horizontal="center" vertical="center"/>
    </xf>
    <xf numFmtId="10" fontId="0" fillId="0" borderId="10" xfId="0" applyNumberFormat="1" applyBorder="1" applyAlignment="1">
      <alignment horizontal="center" vertical="center"/>
    </xf>
    <xf numFmtId="0" fontId="0" fillId="0" borderId="12" xfId="0" applyBorder="1"/>
    <xf numFmtId="165" fontId="0" fillId="0" borderId="13" xfId="0" applyNumberFormat="1" applyBorder="1" applyAlignment="1">
      <alignment horizontal="center" vertical="center"/>
    </xf>
    <xf numFmtId="10" fontId="0" fillId="0" borderId="15" xfId="0" applyNumberFormat="1" applyBorder="1" applyAlignment="1">
      <alignment horizontal="center" vertical="center"/>
    </xf>
    <xf numFmtId="0" fontId="0" fillId="0" borderId="19" xfId="0" applyBorder="1"/>
    <xf numFmtId="164" fontId="0" fillId="0" borderId="20" xfId="0" applyNumberFormat="1" applyBorder="1" applyAlignment="1">
      <alignment horizontal="center" vertical="center"/>
    </xf>
    <xf numFmtId="164" fontId="0" fillId="0" borderId="21" xfId="0" applyNumberFormat="1" applyBorder="1" applyAlignment="1">
      <alignment horizontal="center" vertical="center"/>
    </xf>
    <xf numFmtId="0" fontId="0" fillId="2" borderId="22" xfId="0" applyFill="1" applyBorder="1"/>
    <xf numFmtId="164" fontId="1" fillId="0" borderId="23" xfId="0" applyNumberFormat="1" applyFont="1" applyBorder="1" applyAlignment="1">
      <alignment horizontal="center" vertical="center"/>
    </xf>
    <xf numFmtId="164" fontId="0" fillId="0" borderId="23" xfId="0" applyNumberFormat="1" applyBorder="1" applyAlignment="1">
      <alignment horizontal="center" vertical="center"/>
    </xf>
    <xf numFmtId="164" fontId="0" fillId="0" borderId="24" xfId="0" applyNumberFormat="1" applyBorder="1" applyAlignment="1">
      <alignment horizontal="center" vertical="center"/>
    </xf>
    <xf numFmtId="164" fontId="1" fillId="0" borderId="19" xfId="0" applyNumberFormat="1" applyFont="1" applyBorder="1" applyAlignment="1">
      <alignment horizontal="center" vertical="center"/>
    </xf>
    <xf numFmtId="164" fontId="0" fillId="4" borderId="23" xfId="0" applyNumberFormat="1" applyFill="1" applyBorder="1" applyAlignment="1">
      <alignment horizontal="center" vertical="center"/>
    </xf>
    <xf numFmtId="164" fontId="0" fillId="4" borderId="10" xfId="0" applyNumberFormat="1" applyFill="1" applyBorder="1" applyAlignment="1">
      <alignment horizontal="center" vertical="center"/>
    </xf>
    <xf numFmtId="164" fontId="0" fillId="4" borderId="17" xfId="0" applyNumberFormat="1" applyFill="1" applyBorder="1" applyAlignment="1">
      <alignment horizontal="center" vertical="center"/>
    </xf>
    <xf numFmtId="165" fontId="0" fillId="4" borderId="13" xfId="0" applyNumberFormat="1" applyFill="1" applyBorder="1" applyAlignment="1">
      <alignment horizontal="center" vertical="center"/>
    </xf>
    <xf numFmtId="10" fontId="0" fillId="4" borderId="10" xfId="0" applyNumberFormat="1" applyFill="1" applyBorder="1" applyAlignment="1">
      <alignment horizontal="center" vertical="center"/>
    </xf>
    <xf numFmtId="164" fontId="0" fillId="4" borderId="20" xfId="0" applyNumberFormat="1" applyFill="1" applyBorder="1" applyAlignment="1">
      <alignment horizontal="center" vertical="center"/>
    </xf>
    <xf numFmtId="164" fontId="0" fillId="2" borderId="4" xfId="0" applyNumberFormat="1" applyFill="1" applyBorder="1" applyAlignment="1">
      <alignment horizontal="center" vertical="center"/>
    </xf>
    <xf numFmtId="164" fontId="0" fillId="4" borderId="8" xfId="0" applyNumberFormat="1" applyFill="1" applyBorder="1" applyAlignment="1">
      <alignment horizontal="center" vertical="center"/>
    </xf>
    <xf numFmtId="164" fontId="0" fillId="2" borderId="25" xfId="0" applyNumberFormat="1" applyFill="1" applyBorder="1" applyAlignment="1">
      <alignment horizontal="center" vertical="center"/>
    </xf>
    <xf numFmtId="164" fontId="0" fillId="4" borderId="4" xfId="0" applyNumberFormat="1" applyFill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9" xfId="0" applyNumberFormat="1" applyBorder="1" applyAlignment="1">
      <alignment horizontal="center" vertical="center"/>
    </xf>
    <xf numFmtId="0" fontId="1" fillId="0" borderId="22" xfId="0" applyFont="1" applyBorder="1"/>
    <xf numFmtId="0" fontId="1" fillId="0" borderId="26" xfId="0" applyFont="1" applyBorder="1"/>
    <xf numFmtId="0" fontId="1" fillId="0" borderId="27" xfId="0" applyFont="1" applyBorder="1"/>
    <xf numFmtId="0" fontId="1" fillId="0" borderId="4" xfId="0" applyFont="1" applyBorder="1"/>
    <xf numFmtId="0" fontId="0" fillId="0" borderId="28" xfId="0" applyBorder="1"/>
    <xf numFmtId="10" fontId="0" fillId="5" borderId="23" xfId="0" applyNumberFormat="1" applyFill="1" applyBorder="1" applyAlignment="1">
      <alignment horizontal="center" vertical="center"/>
    </xf>
    <xf numFmtId="1" fontId="0" fillId="5" borderId="23" xfId="0" applyNumberFormat="1" applyFill="1" applyBorder="1" applyAlignment="1">
      <alignment horizontal="center" vertical="center"/>
    </xf>
    <xf numFmtId="164" fontId="0" fillId="5" borderId="17" xfId="0" applyNumberFormat="1" applyFill="1" applyBorder="1" applyAlignment="1">
      <alignment horizontal="center" vertical="center"/>
    </xf>
    <xf numFmtId="164" fontId="0" fillId="5" borderId="10" xfId="0" applyNumberFormat="1" applyFill="1" applyBorder="1" applyAlignment="1">
      <alignment horizontal="center" vertical="center"/>
    </xf>
    <xf numFmtId="164" fontId="1" fillId="0" borderId="7" xfId="0" applyNumberFormat="1" applyFont="1" applyBorder="1" applyAlignment="1">
      <alignment horizontal="center" vertical="center"/>
    </xf>
    <xf numFmtId="164" fontId="1" fillId="0" borderId="32" xfId="0" applyNumberFormat="1" applyFon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4" borderId="14" xfId="0" applyNumberFormat="1" applyFill="1" applyBorder="1" applyAlignment="1">
      <alignment horizontal="center" vertical="center"/>
    </xf>
    <xf numFmtId="164" fontId="0" fillId="4" borderId="16" xfId="0" applyNumberFormat="1" applyFill="1" applyBorder="1" applyAlignment="1">
      <alignment horizontal="center" vertical="center"/>
    </xf>
    <xf numFmtId="164" fontId="0" fillId="4" borderId="28" xfId="0" applyNumberFormat="1" applyFill="1" applyBorder="1" applyAlignment="1">
      <alignment horizontal="center" vertical="center"/>
    </xf>
    <xf numFmtId="164" fontId="0" fillId="4" borderId="19" xfId="0" applyNumberFormat="1" applyFill="1" applyBorder="1" applyAlignment="1">
      <alignment horizontal="center" vertical="center"/>
    </xf>
    <xf numFmtId="164" fontId="0" fillId="5" borderId="33" xfId="0" applyNumberFormat="1" applyFill="1" applyBorder="1" applyAlignment="1">
      <alignment horizontal="center" vertical="center"/>
    </xf>
    <xf numFmtId="164" fontId="0" fillId="0" borderId="7" xfId="0" applyNumberFormat="1" applyBorder="1" applyAlignment="1">
      <alignment vertical="center"/>
    </xf>
    <xf numFmtId="164" fontId="0" fillId="0" borderId="4" xfId="0" applyNumberFormat="1" applyBorder="1" applyAlignment="1">
      <alignment vertical="center"/>
    </xf>
    <xf numFmtId="164" fontId="1" fillId="0" borderId="7" xfId="0" applyNumberFormat="1" applyFont="1" applyBorder="1" applyAlignment="1">
      <alignment vertical="center"/>
    </xf>
    <xf numFmtId="164" fontId="1" fillId="0" borderId="4" xfId="0" applyNumberFormat="1" applyFont="1" applyBorder="1" applyAlignment="1">
      <alignment horizontal="left" vertical="center"/>
    </xf>
    <xf numFmtId="164" fontId="0" fillId="0" borderId="4" xfId="0" applyNumberFormat="1" applyBorder="1" applyAlignment="1">
      <alignment horizontal="left" vertical="center"/>
    </xf>
    <xf numFmtId="164" fontId="1" fillId="0" borderId="0" xfId="0" applyNumberFormat="1" applyFont="1" applyAlignment="1">
      <alignment vertical="center"/>
    </xf>
    <xf numFmtId="164" fontId="0" fillId="0" borderId="0" xfId="0" applyNumberFormat="1" applyAlignment="1">
      <alignment vertical="center"/>
    </xf>
    <xf numFmtId="164" fontId="0" fillId="0" borderId="0" xfId="0" applyNumberFormat="1" applyAlignment="1">
      <alignment horizontal="left" vertical="center"/>
    </xf>
    <xf numFmtId="164" fontId="1" fillId="0" borderId="0" xfId="0" applyNumberFormat="1" applyFont="1" applyAlignment="1">
      <alignment horizontal="left" vertical="center"/>
    </xf>
    <xf numFmtId="164" fontId="1" fillId="0" borderId="4" xfId="0" applyNumberFormat="1" applyFont="1" applyBorder="1" applyAlignment="1">
      <alignment horizontal="center" vertical="center"/>
    </xf>
    <xf numFmtId="9" fontId="0" fillId="0" borderId="0" xfId="0" applyNumberFormat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9" fontId="1" fillId="0" borderId="0" xfId="0" applyNumberFormat="1" applyFont="1" applyAlignment="1">
      <alignment horizontal="center" vertical="center"/>
    </xf>
    <xf numFmtId="10" fontId="1" fillId="0" borderId="0" xfId="0" applyNumberFormat="1" applyFont="1" applyAlignment="1">
      <alignment horizontal="center" vertical="center"/>
    </xf>
    <xf numFmtId="3" fontId="1" fillId="0" borderId="0" xfId="0" applyNumberFormat="1" applyFont="1" applyAlignment="1">
      <alignment horizontal="center" vertical="center"/>
    </xf>
    <xf numFmtId="9" fontId="0" fillId="4" borderId="4" xfId="0" applyNumberFormat="1" applyFill="1" applyBorder="1" applyAlignment="1">
      <alignment horizontal="center" vertical="center"/>
    </xf>
    <xf numFmtId="10" fontId="0" fillId="4" borderId="4" xfId="0" applyNumberFormat="1" applyFill="1" applyBorder="1" applyAlignment="1">
      <alignment horizontal="center" vertical="center"/>
    </xf>
    <xf numFmtId="3" fontId="0" fillId="4" borderId="4" xfId="0" applyNumberFormat="1" applyFill="1" applyBorder="1" applyAlignment="1">
      <alignment horizontal="center" vertical="center"/>
    </xf>
    <xf numFmtId="164" fontId="0" fillId="5" borderId="4" xfId="0" applyNumberFormat="1" applyFill="1" applyBorder="1" applyAlignment="1">
      <alignment horizontal="center" vertical="center"/>
    </xf>
    <xf numFmtId="166" fontId="0" fillId="5" borderId="4" xfId="0" applyNumberFormat="1" applyFill="1" applyBorder="1" applyAlignment="1">
      <alignment horizontal="center" vertical="center"/>
    </xf>
    <xf numFmtId="3" fontId="0" fillId="5" borderId="4" xfId="0" applyNumberFormat="1" applyFill="1" applyBorder="1" applyAlignment="1">
      <alignment horizontal="center" vertical="center"/>
    </xf>
    <xf numFmtId="0" fontId="5" fillId="0" borderId="4" xfId="0" applyFont="1" applyBorder="1"/>
    <xf numFmtId="164" fontId="6" fillId="5" borderId="4" xfId="0" applyNumberFormat="1" applyFont="1" applyFill="1" applyBorder="1" applyAlignment="1">
      <alignment horizontal="center" vertical="center"/>
    </xf>
    <xf numFmtId="164" fontId="1" fillId="5" borderId="4" xfId="0" applyNumberFormat="1" applyFont="1" applyFill="1" applyBorder="1" applyAlignment="1">
      <alignment horizontal="center" vertical="center"/>
    </xf>
    <xf numFmtId="164" fontId="5" fillId="5" borderId="4" xfId="0" applyNumberFormat="1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3" fillId="0" borderId="7" xfId="1" applyBorder="1" applyAlignment="1">
      <alignment horizontal="center" vertical="center" wrapText="1"/>
    </xf>
    <xf numFmtId="0" fontId="3" fillId="0" borderId="9" xfId="1" applyBorder="1" applyAlignment="1">
      <alignment horizontal="center" vertical="center" wrapText="1"/>
    </xf>
    <xf numFmtId="164" fontId="4" fillId="0" borderId="7" xfId="0" applyNumberFormat="1" applyFont="1" applyBorder="1" applyAlignment="1">
      <alignment horizontal="center" vertical="center"/>
    </xf>
    <xf numFmtId="164" fontId="4" fillId="0" borderId="8" xfId="0" applyNumberFormat="1" applyFont="1" applyBorder="1" applyAlignment="1">
      <alignment horizontal="center" vertical="center"/>
    </xf>
    <xf numFmtId="164" fontId="4" fillId="0" borderId="9" xfId="0" applyNumberFormat="1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0" fillId="3" borderId="29" xfId="0" applyFill="1" applyBorder="1" applyAlignment="1">
      <alignment horizontal="center"/>
    </xf>
    <xf numFmtId="0" fontId="0" fillId="3" borderId="11" xfId="0" applyFill="1" applyBorder="1" applyAlignment="1">
      <alignment horizontal="center"/>
    </xf>
    <xf numFmtId="0" fontId="0" fillId="2" borderId="0" xfId="0" applyFill="1" applyAlignment="1">
      <alignment horizontal="center"/>
    </xf>
    <xf numFmtId="0" fontId="2" fillId="0" borderId="0" xfId="0" applyFont="1" applyAlignment="1">
      <alignment horizontal="center" vertical="center"/>
    </xf>
    <xf numFmtId="0" fontId="0" fillId="2" borderId="1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3" xfId="0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193675</xdr:colOff>
      <xdr:row>9</xdr:row>
      <xdr:rowOff>6350</xdr:rowOff>
    </xdr:from>
    <xdr:to>
      <xdr:col>4</xdr:col>
      <xdr:colOff>53147</xdr:colOff>
      <xdr:row>10</xdr:row>
      <xdr:rowOff>19049</xdr:rowOff>
    </xdr:to>
    <xdr:sp macro="" textlink="">
      <xdr:nvSpPr>
        <xdr:cNvPr id="11" name="Arrow: Left 10">
          <a:extLst>
            <a:ext uri="{FF2B5EF4-FFF2-40B4-BE49-F238E27FC236}">
              <a16:creationId xmlns:a16="http://schemas.microsoft.com/office/drawing/2014/main" id="{58D7248D-107B-CD47-4F6C-1EABCBBB11FA}"/>
            </a:ext>
          </a:extLst>
        </xdr:cNvPr>
        <xdr:cNvSpPr/>
      </xdr:nvSpPr>
      <xdr:spPr>
        <a:xfrm>
          <a:off x="2984914" y="876024"/>
          <a:ext cx="488950" cy="211482"/>
        </a:xfrm>
        <a:prstGeom prst="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3</xdr:col>
      <xdr:colOff>193675</xdr:colOff>
      <xdr:row>14</xdr:row>
      <xdr:rowOff>157369</xdr:rowOff>
    </xdr:from>
    <xdr:to>
      <xdr:col>4</xdr:col>
      <xdr:colOff>49696</xdr:colOff>
      <xdr:row>16</xdr:row>
      <xdr:rowOff>0</xdr:rowOff>
    </xdr:to>
    <xdr:sp macro="" textlink="">
      <xdr:nvSpPr>
        <xdr:cNvPr id="12" name="Arrow: Left 11">
          <a:extLst>
            <a:ext uri="{FF2B5EF4-FFF2-40B4-BE49-F238E27FC236}">
              <a16:creationId xmlns:a16="http://schemas.microsoft.com/office/drawing/2014/main" id="{B03CA74E-C60A-076A-F2D2-D2686D00B592}"/>
            </a:ext>
          </a:extLst>
        </xdr:cNvPr>
        <xdr:cNvSpPr/>
      </xdr:nvSpPr>
      <xdr:spPr>
        <a:xfrm>
          <a:off x="4765675" y="2956891"/>
          <a:ext cx="485499" cy="240196"/>
        </a:xfrm>
        <a:prstGeom prst="lef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3</xdr:col>
      <xdr:colOff>190500</xdr:colOff>
      <xdr:row>10</xdr:row>
      <xdr:rowOff>3174</xdr:rowOff>
    </xdr:from>
    <xdr:to>
      <xdr:col>4</xdr:col>
      <xdr:colOff>49972</xdr:colOff>
      <xdr:row>11</xdr:row>
      <xdr:rowOff>15875</xdr:rowOff>
    </xdr:to>
    <xdr:sp macro="" textlink="">
      <xdr:nvSpPr>
        <xdr:cNvPr id="13" name="Arrow: Left 12">
          <a:extLst>
            <a:ext uri="{FF2B5EF4-FFF2-40B4-BE49-F238E27FC236}">
              <a16:creationId xmlns:a16="http://schemas.microsoft.com/office/drawing/2014/main" id="{F4005FB6-E437-DCBC-91C6-28FEE1916F5D}"/>
            </a:ext>
          </a:extLst>
        </xdr:cNvPr>
        <xdr:cNvSpPr/>
      </xdr:nvSpPr>
      <xdr:spPr>
        <a:xfrm>
          <a:off x="2981739" y="1071631"/>
          <a:ext cx="488950" cy="211483"/>
        </a:xfrm>
        <a:prstGeom prst="leftArrow">
          <a:avLst/>
        </a:prstGeom>
        <a:solidFill>
          <a:srgbClr val="00B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3</xdr:col>
      <xdr:colOff>188566</xdr:colOff>
      <xdr:row>6</xdr:row>
      <xdr:rowOff>190499</xdr:rowOff>
    </xdr:from>
    <xdr:to>
      <xdr:col>4</xdr:col>
      <xdr:colOff>82825</xdr:colOff>
      <xdr:row>8</xdr:row>
      <xdr:rowOff>29265</xdr:rowOff>
    </xdr:to>
    <xdr:sp macro="" textlink="">
      <xdr:nvSpPr>
        <xdr:cNvPr id="14" name="Arrow: Left 13">
          <a:extLst>
            <a:ext uri="{FF2B5EF4-FFF2-40B4-BE49-F238E27FC236}">
              <a16:creationId xmlns:a16="http://schemas.microsoft.com/office/drawing/2014/main" id="{821588EB-DFDB-1FF9-C62A-61D26269A102}"/>
            </a:ext>
          </a:extLst>
        </xdr:cNvPr>
        <xdr:cNvSpPr/>
      </xdr:nvSpPr>
      <xdr:spPr>
        <a:xfrm>
          <a:off x="4760566" y="1399760"/>
          <a:ext cx="523737" cy="236331"/>
        </a:xfrm>
        <a:prstGeom prst="leftArrow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3</xdr:col>
      <xdr:colOff>206375</xdr:colOff>
      <xdr:row>12</xdr:row>
      <xdr:rowOff>182215</xdr:rowOff>
    </xdr:from>
    <xdr:to>
      <xdr:col>4</xdr:col>
      <xdr:colOff>82826</xdr:colOff>
      <xdr:row>13</xdr:row>
      <xdr:rowOff>164270</xdr:rowOff>
    </xdr:to>
    <xdr:sp macro="" textlink="">
      <xdr:nvSpPr>
        <xdr:cNvPr id="15" name="Arrow: Left 14">
          <a:extLst>
            <a:ext uri="{FF2B5EF4-FFF2-40B4-BE49-F238E27FC236}">
              <a16:creationId xmlns:a16="http://schemas.microsoft.com/office/drawing/2014/main" id="{C107AC1F-C63D-3DA6-23A6-0187DED36663}"/>
            </a:ext>
          </a:extLst>
        </xdr:cNvPr>
        <xdr:cNvSpPr/>
      </xdr:nvSpPr>
      <xdr:spPr>
        <a:xfrm>
          <a:off x="4778375" y="2584172"/>
          <a:ext cx="505929" cy="180837"/>
        </a:xfrm>
        <a:prstGeom prst="leftArrow">
          <a:avLst/>
        </a:prstGeom>
        <a:solidFill>
          <a:srgbClr val="00B0F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3</xdr:col>
      <xdr:colOff>190499</xdr:colOff>
      <xdr:row>6</xdr:row>
      <xdr:rowOff>1</xdr:rowOff>
    </xdr:from>
    <xdr:to>
      <xdr:col>4</xdr:col>
      <xdr:colOff>49971</xdr:colOff>
      <xdr:row>7</xdr:row>
      <xdr:rowOff>12701</xdr:rowOff>
    </xdr:to>
    <xdr:sp macro="" textlink="">
      <xdr:nvSpPr>
        <xdr:cNvPr id="19" name="Arrow: Left 18">
          <a:extLst>
            <a:ext uri="{FF2B5EF4-FFF2-40B4-BE49-F238E27FC236}">
              <a16:creationId xmlns:a16="http://schemas.microsoft.com/office/drawing/2014/main" id="{8B5D5087-4E89-4775-B6A6-A1AEFA524773}"/>
            </a:ext>
          </a:extLst>
        </xdr:cNvPr>
        <xdr:cNvSpPr/>
      </xdr:nvSpPr>
      <xdr:spPr>
        <a:xfrm>
          <a:off x="2981738" y="480392"/>
          <a:ext cx="488950" cy="211483"/>
        </a:xfrm>
        <a:prstGeom prst="leftArrow">
          <a:avLst/>
        </a:prstGeom>
        <a:solidFill>
          <a:srgbClr val="FFC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3</xdr:col>
      <xdr:colOff>182218</xdr:colOff>
      <xdr:row>2</xdr:row>
      <xdr:rowOff>0</xdr:rowOff>
    </xdr:from>
    <xdr:to>
      <xdr:col>4</xdr:col>
      <xdr:colOff>41690</xdr:colOff>
      <xdr:row>3</xdr:row>
      <xdr:rowOff>4418</xdr:rowOff>
    </xdr:to>
    <xdr:sp macro="" textlink="">
      <xdr:nvSpPr>
        <xdr:cNvPr id="3" name="Arrow: Left 2">
          <a:extLst>
            <a:ext uri="{FF2B5EF4-FFF2-40B4-BE49-F238E27FC236}">
              <a16:creationId xmlns:a16="http://schemas.microsoft.com/office/drawing/2014/main" id="{472DDE26-2A5A-48EC-80E2-998F43620909}"/>
            </a:ext>
          </a:extLst>
        </xdr:cNvPr>
        <xdr:cNvSpPr/>
      </xdr:nvSpPr>
      <xdr:spPr>
        <a:xfrm>
          <a:off x="2973457" y="455544"/>
          <a:ext cx="488950" cy="211483"/>
        </a:xfrm>
        <a:prstGeom prst="leftArrow">
          <a:avLst/>
        </a:prstGeom>
        <a:solidFill>
          <a:schemeClr val="tx2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3</xdr:col>
      <xdr:colOff>198784</xdr:colOff>
      <xdr:row>3</xdr:row>
      <xdr:rowOff>16564</xdr:rowOff>
    </xdr:from>
    <xdr:to>
      <xdr:col>4</xdr:col>
      <xdr:colOff>49696</xdr:colOff>
      <xdr:row>4</xdr:row>
      <xdr:rowOff>54113</xdr:rowOff>
    </xdr:to>
    <xdr:sp macro="" textlink="">
      <xdr:nvSpPr>
        <xdr:cNvPr id="5" name="Arrow: Left 4">
          <a:extLst>
            <a:ext uri="{FF2B5EF4-FFF2-40B4-BE49-F238E27FC236}">
              <a16:creationId xmlns:a16="http://schemas.microsoft.com/office/drawing/2014/main" id="{5A4283BB-05DB-455D-8C9E-0A784EE3D84B}"/>
            </a:ext>
          </a:extLst>
        </xdr:cNvPr>
        <xdr:cNvSpPr/>
      </xdr:nvSpPr>
      <xdr:spPr>
        <a:xfrm>
          <a:off x="4770784" y="679173"/>
          <a:ext cx="480390" cy="219766"/>
        </a:xfrm>
        <a:prstGeom prst="leftArrow">
          <a:avLst/>
        </a:prstGeom>
        <a:solidFill>
          <a:schemeClr val="accent6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3</xdr:col>
      <xdr:colOff>182218</xdr:colOff>
      <xdr:row>5</xdr:row>
      <xdr:rowOff>0</xdr:rowOff>
    </xdr:from>
    <xdr:to>
      <xdr:col>4</xdr:col>
      <xdr:colOff>41690</xdr:colOff>
      <xdr:row>6</xdr:row>
      <xdr:rowOff>29266</xdr:rowOff>
    </xdr:to>
    <xdr:sp macro="" textlink="">
      <xdr:nvSpPr>
        <xdr:cNvPr id="7" name="Arrow: Left 6">
          <a:extLst>
            <a:ext uri="{FF2B5EF4-FFF2-40B4-BE49-F238E27FC236}">
              <a16:creationId xmlns:a16="http://schemas.microsoft.com/office/drawing/2014/main" id="{10EF7739-88F8-4ED9-9B5C-65FBF1B2FA59}"/>
            </a:ext>
          </a:extLst>
        </xdr:cNvPr>
        <xdr:cNvSpPr/>
      </xdr:nvSpPr>
      <xdr:spPr>
        <a:xfrm>
          <a:off x="2973457" y="844826"/>
          <a:ext cx="488950" cy="211483"/>
        </a:xfrm>
        <a:prstGeom prst="leftArrow">
          <a:avLst/>
        </a:prstGeom>
        <a:solidFill>
          <a:schemeClr val="accent2">
            <a:lumMod val="7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ommbank.com.au/digital/home-buying/calculator/home-loan-repayments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97D05-5025-4132-943C-97E8E458D51E}">
  <sheetPr>
    <pageSetUpPr fitToPage="1"/>
  </sheetPr>
  <dimension ref="A1:T36"/>
  <sheetViews>
    <sheetView showGridLines="0" tabSelected="1" showWhiteSpace="0" topLeftCell="A17" zoomScale="115" zoomScaleNormal="115" workbookViewId="0">
      <selection activeCell="B24" sqref="B24"/>
    </sheetView>
  </sheetViews>
  <sheetFormatPr defaultRowHeight="15" x14ac:dyDescent="0.25"/>
  <cols>
    <col min="1" max="1" width="51.5703125" customWidth="1"/>
    <col min="2" max="2" width="13.140625" style="2" bestFit="1" customWidth="1"/>
    <col min="3" max="3" width="3.85546875" style="2" customWidth="1"/>
    <col min="4" max="4" width="9.42578125" style="2" bestFit="1" customWidth="1"/>
    <col min="5" max="5" width="6" style="2" customWidth="1"/>
    <col min="6" max="7" width="9.42578125" style="2" bestFit="1" customWidth="1"/>
    <col min="8" max="8" width="13.42578125" style="2" customWidth="1"/>
    <col min="9" max="9" width="15" style="2" customWidth="1"/>
    <col min="10" max="11" width="9.42578125" style="2" customWidth="1"/>
    <col min="12" max="13" width="11.140625" style="2" bestFit="1" customWidth="1"/>
    <col min="14" max="14" width="2" style="2" customWidth="1"/>
    <col min="15" max="15" width="13" style="1" customWidth="1"/>
    <col min="16" max="16" width="1.7109375" style="1" customWidth="1"/>
    <col min="17" max="17" width="14" style="1" customWidth="1"/>
  </cols>
  <sheetData>
    <row r="1" spans="1:20" ht="36" customHeight="1" thickBot="1" x14ac:dyDescent="0.3">
      <c r="A1" s="95" t="s">
        <v>101</v>
      </c>
      <c r="B1" s="96"/>
      <c r="C1" s="96"/>
      <c r="D1" s="97"/>
    </row>
    <row r="2" spans="1:20" ht="12" customHeight="1" thickBot="1" x14ac:dyDescent="0.3"/>
    <row r="3" spans="1:20" ht="14.25" customHeight="1" thickBot="1" x14ac:dyDescent="0.3">
      <c r="A3" s="53" t="s">
        <v>88</v>
      </c>
      <c r="B3" s="50">
        <v>600000</v>
      </c>
      <c r="F3" s="77"/>
    </row>
    <row r="4" spans="1:20" ht="14.25" customHeight="1" thickBot="1" x14ac:dyDescent="0.3">
      <c r="A4" s="53" t="s">
        <v>89</v>
      </c>
      <c r="B4" s="85">
        <v>0.8</v>
      </c>
      <c r="C4" s="80"/>
    </row>
    <row r="5" spans="1:20" ht="14.25" customHeight="1" thickBot="1" x14ac:dyDescent="0.3">
      <c r="A5" s="53" t="s">
        <v>91</v>
      </c>
      <c r="B5" s="88">
        <f>B3*B4</f>
        <v>480000</v>
      </c>
      <c r="C5" s="82" t="s">
        <v>92</v>
      </c>
    </row>
    <row r="6" spans="1:20" ht="14.25" customHeight="1" thickBot="1" x14ac:dyDescent="0.3">
      <c r="A6" s="53" t="s">
        <v>90</v>
      </c>
      <c r="B6" s="50">
        <v>36000</v>
      </c>
    </row>
    <row r="7" spans="1:20" ht="15.75" thickBot="1" x14ac:dyDescent="0.3">
      <c r="A7" s="53" t="s">
        <v>39</v>
      </c>
      <c r="B7" s="86">
        <v>0.03</v>
      </c>
      <c r="C7" s="7"/>
    </row>
    <row r="8" spans="1:20" s="1" customFormat="1" ht="15.75" thickBot="1" x14ac:dyDescent="0.3">
      <c r="A8" s="54" t="s">
        <v>38</v>
      </c>
      <c r="B8" s="86">
        <v>5.9900000000000002E-2</v>
      </c>
      <c r="D8" s="2"/>
      <c r="E8" s="2"/>
      <c r="L8" s="2"/>
      <c r="M8" s="2"/>
      <c r="N8" s="2"/>
      <c r="R8"/>
      <c r="S8"/>
      <c r="T8"/>
    </row>
    <row r="9" spans="1:20" s="1" customFormat="1" ht="15.75" thickBot="1" x14ac:dyDescent="0.3">
      <c r="A9" s="54" t="s">
        <v>96</v>
      </c>
      <c r="B9" s="89">
        <f>B8/12</f>
        <v>4.9916666666666668E-3</v>
      </c>
      <c r="C9" s="83" t="s">
        <v>93</v>
      </c>
      <c r="D9" s="2"/>
      <c r="E9" s="2"/>
      <c r="L9" s="2"/>
      <c r="M9" s="2"/>
      <c r="N9" s="2"/>
      <c r="R9"/>
      <c r="S9"/>
      <c r="T9"/>
    </row>
    <row r="10" spans="1:20" ht="15.75" thickBot="1" x14ac:dyDescent="0.3">
      <c r="A10" s="54" t="s">
        <v>43</v>
      </c>
      <c r="B10" s="86">
        <v>5.5500000000000001E-2</v>
      </c>
      <c r="C10" s="7"/>
      <c r="E10" s="2" t="s">
        <v>3</v>
      </c>
      <c r="F10" s="76"/>
      <c r="G10" s="76"/>
      <c r="H10" s="76"/>
    </row>
    <row r="11" spans="1:20" ht="15.75" thickBot="1" x14ac:dyDescent="0.3">
      <c r="A11" s="55" t="s">
        <v>44</v>
      </c>
      <c r="B11" s="85">
        <v>0.45</v>
      </c>
      <c r="C11" s="80"/>
    </row>
    <row r="12" spans="1:20" ht="15.75" thickBot="1" x14ac:dyDescent="0.3">
      <c r="A12" s="56" t="s">
        <v>98</v>
      </c>
      <c r="B12" s="90">
        <v>5</v>
      </c>
      <c r="C12" s="81"/>
      <c r="F12" s="77"/>
    </row>
    <row r="13" spans="1:20" ht="15.75" thickBot="1" x14ac:dyDescent="0.3">
      <c r="A13" s="56" t="s">
        <v>97</v>
      </c>
      <c r="B13" s="90">
        <f>B14-B12</f>
        <v>25</v>
      </c>
      <c r="C13" s="81"/>
      <c r="F13" s="77"/>
    </row>
    <row r="14" spans="1:20" ht="15.75" thickBot="1" x14ac:dyDescent="0.3">
      <c r="A14" s="56" t="s">
        <v>99</v>
      </c>
      <c r="B14" s="87">
        <v>30</v>
      </c>
      <c r="C14" s="81"/>
      <c r="F14" s="77"/>
    </row>
    <row r="15" spans="1:20" ht="15.75" thickBot="1" x14ac:dyDescent="0.3">
      <c r="A15" s="56" t="s">
        <v>94</v>
      </c>
      <c r="B15" s="90">
        <f>B14*12</f>
        <v>360</v>
      </c>
      <c r="C15" s="84" t="s">
        <v>95</v>
      </c>
    </row>
    <row r="16" spans="1:20" ht="15.75" thickBot="1" x14ac:dyDescent="0.3">
      <c r="A16" s="56" t="s">
        <v>56</v>
      </c>
      <c r="B16" s="87" t="s">
        <v>46</v>
      </c>
      <c r="C16" s="81"/>
    </row>
    <row r="17" spans="1:5" ht="15.75" thickBot="1" x14ac:dyDescent="0.3">
      <c r="A17" s="91" t="s">
        <v>53</v>
      </c>
      <c r="B17" s="92">
        <f>B5*B9</f>
        <v>2396</v>
      </c>
    </row>
    <row r="18" spans="1:5" ht="15.75" thickBot="1" x14ac:dyDescent="0.3">
      <c r="A18" s="91" t="s">
        <v>54</v>
      </c>
      <c r="B18" s="92">
        <f>B5*(B9*(1+B9)^(B13*12))/((1+B9)^(B13*12)-1)</f>
        <v>3089.7132452937162</v>
      </c>
    </row>
    <row r="19" spans="1:5" ht="16.5" customHeight="1" thickBot="1" x14ac:dyDescent="0.3"/>
    <row r="20" spans="1:5" ht="34.5" customHeight="1" thickBot="1" x14ac:dyDescent="0.3">
      <c r="A20" s="98" t="s">
        <v>100</v>
      </c>
      <c r="B20" s="99"/>
    </row>
    <row r="21" spans="1:5" ht="15.75" thickBot="1" x14ac:dyDescent="0.3">
      <c r="A21" s="2"/>
    </row>
    <row r="22" spans="1:5" ht="24.75" customHeight="1" thickBot="1" x14ac:dyDescent="0.3">
      <c r="A22" s="100" t="s">
        <v>102</v>
      </c>
      <c r="B22" s="101"/>
      <c r="C22" s="101"/>
      <c r="D22" s="102"/>
    </row>
    <row r="23" spans="1:5" ht="15.75" thickBot="1" x14ac:dyDescent="0.3">
      <c r="A23" s="2"/>
    </row>
    <row r="24" spans="1:5" ht="15.75" thickBot="1" x14ac:dyDescent="0.3">
      <c r="A24" s="71" t="s">
        <v>79</v>
      </c>
      <c r="B24" s="94">
        <f>'BuyHold1-15'!R28</f>
        <v>-163667.30836543601</v>
      </c>
      <c r="C24" s="8"/>
      <c r="D24" s="75" t="str">
        <f>IF(B24&lt;0, "LOSS","GAIN")</f>
        <v>LOSS</v>
      </c>
      <c r="E24" s="76"/>
    </row>
    <row r="25" spans="1:5" ht="15.75" thickBot="1" x14ac:dyDescent="0.3">
      <c r="A25" s="70" t="s">
        <v>80</v>
      </c>
      <c r="B25" s="93">
        <f>'BuyHold16-30'!R28</f>
        <v>-9522.6144015519167</v>
      </c>
      <c r="C25" s="8"/>
      <c r="D25" s="75" t="str">
        <f>IF(B25&lt;0, "LOSS","GAIN")</f>
        <v>LOSS</v>
      </c>
      <c r="E25" s="76"/>
    </row>
    <row r="26" spans="1:5" ht="15.75" thickBot="1" x14ac:dyDescent="0.3">
      <c r="A26" s="72" t="s">
        <v>78</v>
      </c>
      <c r="B26" s="93">
        <f>B25+B24</f>
        <v>-173189.92276698793</v>
      </c>
      <c r="C26" s="8"/>
      <c r="D26" s="75" t="str">
        <f>IF(B26&lt;0, "LOSS","GAIN")</f>
        <v>LOSS</v>
      </c>
      <c r="E26" s="75"/>
    </row>
    <row r="27" spans="1:5" ht="15.75" thickBot="1" x14ac:dyDescent="0.3">
      <c r="A27" s="2"/>
    </row>
    <row r="28" spans="1:5" ht="15.75" thickBot="1" x14ac:dyDescent="0.3">
      <c r="A28" s="71" t="s">
        <v>81</v>
      </c>
      <c r="B28" s="93">
        <f>'BuyHold1-15'!Q12</f>
        <v>454780.44996045926</v>
      </c>
      <c r="C28" s="8"/>
      <c r="D28" s="75" t="str">
        <f>IF(B28&lt;0, "LOSS","GAIN")</f>
        <v>GAIN</v>
      </c>
      <c r="E28" s="76"/>
    </row>
    <row r="29" spans="1:5" ht="15.75" thickBot="1" x14ac:dyDescent="0.3">
      <c r="A29" s="71" t="s">
        <v>82</v>
      </c>
      <c r="B29" s="93">
        <f>'BuyHold16-30'!Q12</f>
        <v>976357.4827137976</v>
      </c>
      <c r="C29" s="8"/>
      <c r="D29" s="75" t="str">
        <f>IF(B29&lt;0, "LOSS","GAIN")</f>
        <v>GAIN</v>
      </c>
      <c r="E29" s="76"/>
    </row>
    <row r="30" spans="1:5" ht="15.75" thickBot="1" x14ac:dyDescent="0.3">
      <c r="A30" s="2"/>
    </row>
    <row r="31" spans="1:5" ht="15.75" thickBot="1" x14ac:dyDescent="0.3">
      <c r="A31" s="70" t="s">
        <v>85</v>
      </c>
      <c r="B31" s="93">
        <f>'BuyHold1-15'!R26</f>
        <v>514525.58943524607</v>
      </c>
      <c r="C31" s="8"/>
      <c r="D31" s="75" t="s">
        <v>3</v>
      </c>
      <c r="E31" s="76"/>
    </row>
    <row r="32" spans="1:5" ht="15.75" thickBot="1" x14ac:dyDescent="0.3">
      <c r="A32" s="74" t="s">
        <v>86</v>
      </c>
      <c r="B32" s="93">
        <f>'BuyHold16-30'!R26</f>
        <v>593224.9430963936</v>
      </c>
      <c r="C32" s="8"/>
      <c r="D32" s="75" t="s">
        <v>3</v>
      </c>
      <c r="E32" s="77"/>
    </row>
    <row r="33" spans="1:5" ht="15.75" thickBot="1" x14ac:dyDescent="0.3">
      <c r="A33" s="73" t="s">
        <v>84</v>
      </c>
      <c r="B33" s="94">
        <f>(B31+B32)</f>
        <v>1107750.5325316396</v>
      </c>
      <c r="C33" s="8"/>
      <c r="D33" s="75" t="s">
        <v>103</v>
      </c>
      <c r="E33" s="78"/>
    </row>
    <row r="34" spans="1:5" ht="15.75" thickBot="1" x14ac:dyDescent="0.3">
      <c r="A34" s="73" t="s">
        <v>87</v>
      </c>
      <c r="B34" s="94">
        <f>'BuyHold1-15'!B4 - B33</f>
        <v>-627750.53253163956</v>
      </c>
      <c r="C34" s="8"/>
      <c r="D34" s="75" t="s">
        <v>103</v>
      </c>
      <c r="E34" s="78"/>
    </row>
    <row r="35" spans="1:5" ht="15.75" thickBot="1" x14ac:dyDescent="0.3"/>
    <row r="36" spans="1:5" ht="15.75" thickBot="1" x14ac:dyDescent="0.3">
      <c r="A36" s="56" t="s">
        <v>104</v>
      </c>
      <c r="B36" s="79">
        <f>(B29+B26)-(B34)</f>
        <v>1430918.0924784492</v>
      </c>
      <c r="D36" s="8" t="s">
        <v>105</v>
      </c>
    </row>
  </sheetData>
  <sheetProtection formatColumns="0" selectLockedCells="1"/>
  <mergeCells count="3">
    <mergeCell ref="A1:D1"/>
    <mergeCell ref="A20:B20"/>
    <mergeCell ref="A22:D22"/>
  </mergeCells>
  <hyperlinks>
    <hyperlink ref="A20:B20" r:id="rId1" display="Visit Repayments Calculator to Check the repayment figures" xr:uid="{2316318A-BB05-42EC-AE13-567D15F865B4}"/>
  </hyperlinks>
  <pageMargins left="0.7" right="0.7" top="0.75" bottom="0.75" header="0.3" footer="0.3"/>
  <pageSetup paperSize="9" orientation="landscape" horizontalDpi="1200" verticalDpi="1200" r:id="rId2"/>
  <drawing r:id="rId3"/>
  <extLst>
    <ext xmlns:x14="http://schemas.microsoft.com/office/spreadsheetml/2009/9/main" uri="{CCE6A557-97BC-4b89-ADB6-D9C93CAAB3DF}">
      <x14:dataValidations xmlns:xm="http://schemas.microsoft.com/office/excel/2006/main" disablePrompts="1" count="2">
        <x14:dataValidation type="list" allowBlank="1" showInputMessage="1" showErrorMessage="1" xr:uid="{979B8B53-B0C8-4DB9-A499-78098EFD490D}">
          <x14:formula1>
            <xm:f>Sheet1!$B$2:$B$3</xm:f>
          </x14:formula1>
          <xm:sqref>C12:C14</xm:sqref>
        </x14:dataValidation>
        <x14:dataValidation type="list" allowBlank="1" showInputMessage="1" showErrorMessage="1" xr:uid="{BF1BDF3D-3B74-4B7F-9B6A-B793E64F3E6C}">
          <x14:formula1>
            <xm:f>Sheet1!$A$2:$A$3</xm:f>
          </x14:formula1>
          <xm:sqref>B16:C16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FC513A-3895-4F6E-9B29-DB379EA650C3}">
  <dimension ref="A1:B3"/>
  <sheetViews>
    <sheetView workbookViewId="0">
      <selection activeCell="I11" sqref="I11"/>
    </sheetView>
  </sheetViews>
  <sheetFormatPr defaultRowHeight="15" x14ac:dyDescent="0.25"/>
  <cols>
    <col min="1" max="2" width="9.140625" style="1"/>
  </cols>
  <sheetData>
    <row r="1" spans="1:2" x14ac:dyDescent="0.25">
      <c r="A1" s="1" t="s">
        <v>45</v>
      </c>
      <c r="B1" s="1" t="s">
        <v>48</v>
      </c>
    </row>
    <row r="2" spans="1:2" x14ac:dyDescent="0.25">
      <c r="A2" s="1" t="s">
        <v>46</v>
      </c>
      <c r="B2" s="1">
        <v>25</v>
      </c>
    </row>
    <row r="3" spans="1:2" x14ac:dyDescent="0.25">
      <c r="A3" s="1" t="s">
        <v>47</v>
      </c>
      <c r="B3" s="1">
        <v>30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19E5F8-73D1-4F00-9B1A-DA320447C1A5}">
  <sheetPr>
    <pageSetUpPr fitToPage="1"/>
  </sheetPr>
  <dimension ref="A1:R28"/>
  <sheetViews>
    <sheetView showGridLines="0" showWhiteSpace="0" zoomScale="115" zoomScaleNormal="115" workbookViewId="0">
      <selection activeCell="C12" sqref="C12:Q12"/>
    </sheetView>
  </sheetViews>
  <sheetFormatPr defaultRowHeight="15" x14ac:dyDescent="0.25"/>
  <cols>
    <col min="1" max="1" width="28.7109375" customWidth="1"/>
    <col min="2" max="2" width="13.140625" style="2" bestFit="1" customWidth="1"/>
    <col min="3" max="7" width="9.42578125" style="2" bestFit="1" customWidth="1"/>
    <col min="8" max="10" width="9.42578125" style="2" customWidth="1"/>
    <col min="11" max="12" width="11.140625" style="2" bestFit="1" customWidth="1"/>
    <col min="13" max="17" width="11.140625" bestFit="1" customWidth="1"/>
  </cols>
  <sheetData>
    <row r="1" spans="1:17" ht="41.45" customHeight="1" thickBot="1" x14ac:dyDescent="0.3">
      <c r="A1" s="103" t="s">
        <v>68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4"/>
      <c r="O1" s="104"/>
      <c r="P1" s="104"/>
      <c r="Q1" s="104"/>
    </row>
    <row r="2" spans="1:17" ht="15.75" thickBot="1" x14ac:dyDescent="0.3">
      <c r="A2" s="36"/>
      <c r="B2" s="40" t="s">
        <v>18</v>
      </c>
      <c r="C2" s="46" t="s">
        <v>17</v>
      </c>
      <c r="D2" s="34" t="s">
        <v>16</v>
      </c>
      <c r="E2" s="46" t="s">
        <v>15</v>
      </c>
      <c r="F2" s="34" t="s">
        <v>14</v>
      </c>
      <c r="G2" s="34" t="s">
        <v>13</v>
      </c>
      <c r="H2" s="34" t="s">
        <v>21</v>
      </c>
      <c r="I2" s="34" t="s">
        <v>23</v>
      </c>
      <c r="J2" s="34" t="s">
        <v>24</v>
      </c>
      <c r="K2" s="34" t="s">
        <v>25</v>
      </c>
      <c r="L2" s="35" t="s">
        <v>26</v>
      </c>
      <c r="M2" s="34" t="s">
        <v>73</v>
      </c>
      <c r="N2" s="34" t="s">
        <v>74</v>
      </c>
      <c r="O2" s="34" t="s">
        <v>75</v>
      </c>
      <c r="P2" s="34" t="s">
        <v>76</v>
      </c>
      <c r="Q2" s="35" t="s">
        <v>77</v>
      </c>
    </row>
    <row r="3" spans="1:17" x14ac:dyDescent="0.25">
      <c r="A3" s="22" t="s">
        <v>12</v>
      </c>
      <c r="B3" s="37">
        <v>600000</v>
      </c>
      <c r="C3" s="41">
        <f t="shared" ref="C3:L3" si="0">B3*(1+C14)</f>
        <v>618000</v>
      </c>
      <c r="D3" s="38">
        <f t="shared" si="0"/>
        <v>636540</v>
      </c>
      <c r="E3" s="41">
        <f t="shared" si="0"/>
        <v>655636.20000000007</v>
      </c>
      <c r="F3" s="38">
        <f t="shared" si="0"/>
        <v>675305.28600000008</v>
      </c>
      <c r="G3" s="41">
        <f t="shared" si="0"/>
        <v>695564.44458000013</v>
      </c>
      <c r="H3" s="38">
        <f t="shared" si="0"/>
        <v>716431.3779174001</v>
      </c>
      <c r="I3" s="41">
        <f t="shared" si="0"/>
        <v>737924.3192549221</v>
      </c>
      <c r="J3" s="38">
        <f t="shared" si="0"/>
        <v>760062.04883256974</v>
      </c>
      <c r="K3" s="41">
        <f t="shared" si="0"/>
        <v>782863.91029754688</v>
      </c>
      <c r="L3" s="39">
        <f t="shared" si="0"/>
        <v>806349.82760647335</v>
      </c>
      <c r="M3" s="38">
        <f t="shared" ref="M3" si="1">L3*(1+M14)</f>
        <v>830540.32243466761</v>
      </c>
      <c r="N3" s="41">
        <f t="shared" ref="N3" si="2">M3*(1+N14)</f>
        <v>855456.5321077077</v>
      </c>
      <c r="O3" s="38">
        <f t="shared" ref="O3" si="3">N3*(1+O14)</f>
        <v>881120.22807093896</v>
      </c>
      <c r="P3" s="41">
        <f t="shared" ref="P3" si="4">O3*(1+P14)</f>
        <v>907553.83491306717</v>
      </c>
      <c r="Q3" s="39">
        <f t="shared" ref="Q3" si="5">P3*(1+Q14)</f>
        <v>934780.44996045926</v>
      </c>
    </row>
    <row r="4" spans="1:17" x14ac:dyDescent="0.25">
      <c r="A4" s="22" t="s">
        <v>11</v>
      </c>
      <c r="B4" s="20">
        <v>480000</v>
      </c>
      <c r="C4" s="42">
        <v>480000</v>
      </c>
      <c r="D4" s="20">
        <v>480000</v>
      </c>
      <c r="E4" s="42">
        <v>480000</v>
      </c>
      <c r="F4" s="20">
        <v>480000</v>
      </c>
      <c r="G4" s="42">
        <v>480000</v>
      </c>
      <c r="H4" s="20">
        <v>480000</v>
      </c>
      <c r="I4" s="42">
        <v>480000</v>
      </c>
      <c r="J4" s="20">
        <v>480000</v>
      </c>
      <c r="K4" s="42">
        <v>480000</v>
      </c>
      <c r="L4" s="20">
        <v>480000</v>
      </c>
      <c r="M4" s="20">
        <v>480000</v>
      </c>
      <c r="N4" s="42">
        <v>480000</v>
      </c>
      <c r="O4" s="20">
        <v>480000</v>
      </c>
      <c r="P4" s="42">
        <v>480000</v>
      </c>
      <c r="Q4" s="20">
        <v>480000</v>
      </c>
    </row>
    <row r="5" spans="1:17" x14ac:dyDescent="0.25">
      <c r="A5" s="22" t="s">
        <v>10</v>
      </c>
      <c r="B5" s="20">
        <v>120000</v>
      </c>
      <c r="C5" s="42">
        <v>120000</v>
      </c>
      <c r="D5" s="20">
        <v>120000</v>
      </c>
      <c r="E5" s="42">
        <v>120000</v>
      </c>
      <c r="F5" s="20">
        <v>120000</v>
      </c>
      <c r="G5" s="42">
        <v>120000</v>
      </c>
      <c r="H5" s="20">
        <v>120000</v>
      </c>
      <c r="I5" s="42">
        <v>120000</v>
      </c>
      <c r="J5" s="20">
        <v>120000</v>
      </c>
      <c r="K5" s="42">
        <v>120000</v>
      </c>
      <c r="L5" s="23">
        <v>120000</v>
      </c>
      <c r="M5" s="20">
        <v>120000</v>
      </c>
      <c r="N5" s="42">
        <v>120000</v>
      </c>
      <c r="O5" s="20">
        <v>120000</v>
      </c>
      <c r="P5" s="42">
        <v>120000</v>
      </c>
      <c r="Q5" s="23">
        <v>120000</v>
      </c>
    </row>
    <row r="6" spans="1:17" x14ac:dyDescent="0.25">
      <c r="A6" s="22" t="s">
        <v>9</v>
      </c>
      <c r="B6" s="20">
        <v>36000</v>
      </c>
      <c r="C6" s="42">
        <v>36000</v>
      </c>
      <c r="D6" s="20">
        <v>36000</v>
      </c>
      <c r="E6" s="42">
        <v>36000</v>
      </c>
      <c r="F6" s="20">
        <v>36000</v>
      </c>
      <c r="G6" s="42">
        <v>36000</v>
      </c>
      <c r="H6" s="20">
        <v>36000</v>
      </c>
      <c r="I6" s="42">
        <v>36000</v>
      </c>
      <c r="J6" s="20">
        <v>36000</v>
      </c>
      <c r="K6" s="42">
        <v>36000</v>
      </c>
      <c r="L6" s="23">
        <v>36000</v>
      </c>
      <c r="M6" s="20">
        <v>36000</v>
      </c>
      <c r="N6" s="42">
        <v>36000</v>
      </c>
      <c r="O6" s="20">
        <v>36000</v>
      </c>
      <c r="P6" s="42">
        <v>36000</v>
      </c>
      <c r="Q6" s="23">
        <v>36000</v>
      </c>
    </row>
    <row r="7" spans="1:17" x14ac:dyDescent="0.25">
      <c r="A7" s="22" t="s">
        <v>8</v>
      </c>
      <c r="B7" s="20">
        <v>0</v>
      </c>
      <c r="C7" s="42">
        <v>0</v>
      </c>
      <c r="D7" s="20">
        <v>0</v>
      </c>
      <c r="E7" s="42">
        <v>0</v>
      </c>
      <c r="F7" s="20">
        <v>0</v>
      </c>
      <c r="G7" s="42">
        <v>0</v>
      </c>
      <c r="H7" s="20">
        <v>0</v>
      </c>
      <c r="I7" s="42">
        <v>0</v>
      </c>
      <c r="J7" s="20">
        <v>0</v>
      </c>
      <c r="K7" s="42">
        <v>0</v>
      </c>
      <c r="L7" s="23">
        <v>0</v>
      </c>
      <c r="M7" s="20">
        <v>0</v>
      </c>
      <c r="N7" s="42">
        <v>0</v>
      </c>
      <c r="O7" s="20">
        <v>0</v>
      </c>
      <c r="P7" s="42">
        <v>0</v>
      </c>
      <c r="Q7" s="23">
        <v>0</v>
      </c>
    </row>
    <row r="8" spans="1:17" ht="15" customHeight="1" x14ac:dyDescent="0.25">
      <c r="A8" s="22" t="s">
        <v>7</v>
      </c>
      <c r="B8" s="20">
        <v>0</v>
      </c>
      <c r="C8" s="42">
        <v>0</v>
      </c>
      <c r="D8" s="20">
        <v>0</v>
      </c>
      <c r="E8" s="42">
        <v>0</v>
      </c>
      <c r="F8" s="20">
        <v>0</v>
      </c>
      <c r="G8" s="42">
        <v>0</v>
      </c>
      <c r="H8" s="20">
        <v>0</v>
      </c>
      <c r="I8" s="42">
        <v>0</v>
      </c>
      <c r="J8" s="20">
        <v>0</v>
      </c>
      <c r="K8" s="42">
        <v>0</v>
      </c>
      <c r="L8" s="23">
        <v>0</v>
      </c>
      <c r="M8" s="20">
        <v>0</v>
      </c>
      <c r="N8" s="42">
        <v>0</v>
      </c>
      <c r="O8" s="20">
        <v>0</v>
      </c>
      <c r="P8" s="42">
        <v>0</v>
      </c>
      <c r="Q8" s="23">
        <v>0</v>
      </c>
    </row>
    <row r="9" spans="1:17" x14ac:dyDescent="0.25">
      <c r="A9" s="22" t="s">
        <v>6</v>
      </c>
      <c r="B9" s="20">
        <v>0</v>
      </c>
      <c r="C9" s="42">
        <v>0</v>
      </c>
      <c r="D9" s="20">
        <v>0</v>
      </c>
      <c r="E9" s="42">
        <v>0</v>
      </c>
      <c r="F9" s="20">
        <v>0</v>
      </c>
      <c r="G9" s="42">
        <v>0</v>
      </c>
      <c r="H9" s="20">
        <v>0</v>
      </c>
      <c r="I9" s="42">
        <v>0</v>
      </c>
      <c r="J9" s="20">
        <v>0</v>
      </c>
      <c r="K9" s="42">
        <v>0</v>
      </c>
      <c r="L9" s="23">
        <v>0</v>
      </c>
      <c r="M9" s="20">
        <v>0</v>
      </c>
      <c r="N9" s="42">
        <v>0</v>
      </c>
      <c r="O9" s="20">
        <v>0</v>
      </c>
      <c r="P9" s="42">
        <v>0</v>
      </c>
      <c r="Q9" s="23">
        <v>0</v>
      </c>
    </row>
    <row r="10" spans="1:17" x14ac:dyDescent="0.25">
      <c r="A10" s="22" t="s">
        <v>0</v>
      </c>
      <c r="B10" s="20">
        <v>0</v>
      </c>
      <c r="C10" s="42">
        <v>0</v>
      </c>
      <c r="D10" s="20">
        <v>0</v>
      </c>
      <c r="E10" s="42">
        <v>0</v>
      </c>
      <c r="F10" s="20">
        <v>0</v>
      </c>
      <c r="G10" s="42">
        <v>0</v>
      </c>
      <c r="H10" s="20">
        <v>0</v>
      </c>
      <c r="I10" s="42">
        <v>0</v>
      </c>
      <c r="J10" s="20">
        <v>0</v>
      </c>
      <c r="K10" s="42">
        <v>0</v>
      </c>
      <c r="L10" s="23">
        <v>0</v>
      </c>
      <c r="M10" s="20">
        <v>0</v>
      </c>
      <c r="N10" s="42">
        <v>0</v>
      </c>
      <c r="O10" s="20">
        <v>0</v>
      </c>
      <c r="P10" s="42">
        <v>0</v>
      </c>
      <c r="Q10" s="23">
        <v>0</v>
      </c>
    </row>
    <row r="11" spans="1:17" ht="15.75" thickBot="1" x14ac:dyDescent="0.3">
      <c r="A11" s="24" t="s">
        <v>5</v>
      </c>
      <c r="B11" s="25">
        <v>0</v>
      </c>
      <c r="C11" s="43">
        <v>0</v>
      </c>
      <c r="D11" s="25">
        <v>0</v>
      </c>
      <c r="E11" s="43">
        <v>0</v>
      </c>
      <c r="F11" s="25">
        <v>0</v>
      </c>
      <c r="G11" s="43">
        <v>0</v>
      </c>
      <c r="H11" s="25">
        <v>0</v>
      </c>
      <c r="I11" s="43">
        <v>0</v>
      </c>
      <c r="J11" s="25">
        <v>0</v>
      </c>
      <c r="K11" s="43">
        <v>0</v>
      </c>
      <c r="L11" s="26">
        <v>0</v>
      </c>
      <c r="M11" s="25">
        <v>0</v>
      </c>
      <c r="N11" s="43">
        <v>0</v>
      </c>
      <c r="O11" s="25">
        <v>0</v>
      </c>
      <c r="P11" s="43">
        <v>0</v>
      </c>
      <c r="Q11" s="26">
        <v>0</v>
      </c>
    </row>
    <row r="12" spans="1:17" ht="15.75" thickBot="1" x14ac:dyDescent="0.3">
      <c r="A12" s="27" t="s">
        <v>4</v>
      </c>
      <c r="B12" s="28">
        <f>((B3-B4)+B7)+B10</f>
        <v>120000</v>
      </c>
      <c r="C12" s="28">
        <f t="shared" ref="C12:Q12" si="6">((C3-C4)+C7)+C10</f>
        <v>138000</v>
      </c>
      <c r="D12" s="28">
        <f t="shared" si="6"/>
        <v>156540</v>
      </c>
      <c r="E12" s="28">
        <f t="shared" si="6"/>
        <v>175636.20000000007</v>
      </c>
      <c r="F12" s="28">
        <f t="shared" si="6"/>
        <v>195305.28600000008</v>
      </c>
      <c r="G12" s="28">
        <f t="shared" si="6"/>
        <v>215564.44458000013</v>
      </c>
      <c r="H12" s="28">
        <f t="shared" si="6"/>
        <v>236431.3779174001</v>
      </c>
      <c r="I12" s="28">
        <f t="shared" si="6"/>
        <v>257924.3192549221</v>
      </c>
      <c r="J12" s="28">
        <f t="shared" si="6"/>
        <v>280062.04883256974</v>
      </c>
      <c r="K12" s="28">
        <f t="shared" si="6"/>
        <v>302863.91029754688</v>
      </c>
      <c r="L12" s="28">
        <f t="shared" si="6"/>
        <v>326349.82760647335</v>
      </c>
      <c r="M12" s="28">
        <f t="shared" si="6"/>
        <v>350540.32243466761</v>
      </c>
      <c r="N12" s="28">
        <f t="shared" si="6"/>
        <v>375456.5321077077</v>
      </c>
      <c r="O12" s="28">
        <f t="shared" si="6"/>
        <v>401120.22807093896</v>
      </c>
      <c r="P12" s="28">
        <f t="shared" si="6"/>
        <v>427553.83491306717</v>
      </c>
      <c r="Q12" s="28">
        <f t="shared" si="6"/>
        <v>454780.44996045926</v>
      </c>
    </row>
    <row r="13" spans="1:17" ht="15.75" thickBot="1" x14ac:dyDescent="0.3">
      <c r="A13" s="105"/>
      <c r="B13" s="106"/>
      <c r="C13" s="106"/>
      <c r="D13" s="106"/>
      <c r="E13" s="106"/>
      <c r="F13" s="106"/>
      <c r="G13" s="106"/>
      <c r="H13" s="106"/>
      <c r="I13" s="106"/>
      <c r="J13" s="106"/>
      <c r="K13" s="106"/>
      <c r="L13" s="106"/>
      <c r="M13" s="106"/>
      <c r="N13" s="106"/>
      <c r="O13" s="106"/>
      <c r="P13" s="106"/>
      <c r="Q13" s="106"/>
    </row>
    <row r="14" spans="1:17" x14ac:dyDescent="0.25">
      <c r="A14" s="30" t="s">
        <v>2</v>
      </c>
      <c r="B14" s="31">
        <f>'Input-Output Data'!B7</f>
        <v>0.03</v>
      </c>
      <c r="C14" s="44">
        <f>$B$14</f>
        <v>0.03</v>
      </c>
      <c r="D14" s="44">
        <f t="shared" ref="D14:Q14" si="7">$B$14</f>
        <v>0.03</v>
      </c>
      <c r="E14" s="44">
        <f t="shared" si="7"/>
        <v>0.03</v>
      </c>
      <c r="F14" s="44">
        <f t="shared" si="7"/>
        <v>0.03</v>
      </c>
      <c r="G14" s="44">
        <f t="shared" si="7"/>
        <v>0.03</v>
      </c>
      <c r="H14" s="44">
        <f t="shared" si="7"/>
        <v>0.03</v>
      </c>
      <c r="I14" s="44">
        <f t="shared" si="7"/>
        <v>0.03</v>
      </c>
      <c r="J14" s="44">
        <f t="shared" si="7"/>
        <v>0.03</v>
      </c>
      <c r="K14" s="44">
        <f t="shared" si="7"/>
        <v>0.03</v>
      </c>
      <c r="L14" s="44">
        <f t="shared" si="7"/>
        <v>0.03</v>
      </c>
      <c r="M14" s="44">
        <f t="shared" si="7"/>
        <v>0.03</v>
      </c>
      <c r="N14" s="44">
        <f t="shared" si="7"/>
        <v>0.03</v>
      </c>
      <c r="O14" s="44">
        <f t="shared" si="7"/>
        <v>0.03</v>
      </c>
      <c r="P14" s="44">
        <f t="shared" si="7"/>
        <v>0.03</v>
      </c>
      <c r="Q14" s="44">
        <f t="shared" si="7"/>
        <v>0.03</v>
      </c>
    </row>
    <row r="15" spans="1:17" s="1" customFormat="1" x14ac:dyDescent="0.25">
      <c r="A15" s="22" t="s">
        <v>28</v>
      </c>
      <c r="B15" s="29">
        <f>'Input-Output Data'!B8</f>
        <v>5.9900000000000002E-2</v>
      </c>
      <c r="C15" s="45">
        <f>$B$15</f>
        <v>5.9900000000000002E-2</v>
      </c>
      <c r="D15" s="45">
        <f t="shared" ref="D15:Q15" si="8">$B$15</f>
        <v>5.9900000000000002E-2</v>
      </c>
      <c r="E15" s="45">
        <f t="shared" si="8"/>
        <v>5.9900000000000002E-2</v>
      </c>
      <c r="F15" s="45">
        <f t="shared" si="8"/>
        <v>5.9900000000000002E-2</v>
      </c>
      <c r="G15" s="45">
        <f t="shared" si="8"/>
        <v>5.9900000000000002E-2</v>
      </c>
      <c r="H15" s="45">
        <f t="shared" si="8"/>
        <v>5.9900000000000002E-2</v>
      </c>
      <c r="I15" s="45">
        <f t="shared" si="8"/>
        <v>5.9900000000000002E-2</v>
      </c>
      <c r="J15" s="45">
        <f t="shared" si="8"/>
        <v>5.9900000000000002E-2</v>
      </c>
      <c r="K15" s="45">
        <f t="shared" si="8"/>
        <v>5.9900000000000002E-2</v>
      </c>
      <c r="L15" s="45">
        <f t="shared" si="8"/>
        <v>5.9900000000000002E-2</v>
      </c>
      <c r="M15" s="45">
        <f t="shared" si="8"/>
        <v>5.9900000000000002E-2</v>
      </c>
      <c r="N15" s="45">
        <f t="shared" si="8"/>
        <v>5.9900000000000002E-2</v>
      </c>
      <c r="O15" s="45">
        <f t="shared" si="8"/>
        <v>5.9900000000000002E-2</v>
      </c>
      <c r="P15" s="45">
        <f t="shared" si="8"/>
        <v>5.9900000000000002E-2</v>
      </c>
      <c r="Q15" s="45">
        <f t="shared" si="8"/>
        <v>5.9900000000000002E-2</v>
      </c>
    </row>
    <row r="16" spans="1:17" s="1" customFormat="1" x14ac:dyDescent="0.25">
      <c r="A16" s="22" t="s">
        <v>41</v>
      </c>
      <c r="B16" s="29">
        <f>'Input-Output Data'!B10</f>
        <v>5.5500000000000001E-2</v>
      </c>
      <c r="C16" s="45">
        <f>$B$16</f>
        <v>5.5500000000000001E-2</v>
      </c>
      <c r="D16" s="45">
        <f t="shared" ref="D16:Q16" si="9">$B$16</f>
        <v>5.5500000000000001E-2</v>
      </c>
      <c r="E16" s="45">
        <f t="shared" si="9"/>
        <v>5.5500000000000001E-2</v>
      </c>
      <c r="F16" s="45">
        <f t="shared" si="9"/>
        <v>5.5500000000000001E-2</v>
      </c>
      <c r="G16" s="45">
        <f t="shared" si="9"/>
        <v>5.5500000000000001E-2</v>
      </c>
      <c r="H16" s="45">
        <f t="shared" si="9"/>
        <v>5.5500000000000001E-2</v>
      </c>
      <c r="I16" s="45">
        <f t="shared" si="9"/>
        <v>5.5500000000000001E-2</v>
      </c>
      <c r="J16" s="45">
        <f t="shared" si="9"/>
        <v>5.5500000000000001E-2</v>
      </c>
      <c r="K16" s="45">
        <f t="shared" si="9"/>
        <v>5.5500000000000001E-2</v>
      </c>
      <c r="L16" s="45">
        <f t="shared" si="9"/>
        <v>5.5500000000000001E-2</v>
      </c>
      <c r="M16" s="45">
        <f t="shared" si="9"/>
        <v>5.5500000000000001E-2</v>
      </c>
      <c r="N16" s="45">
        <f t="shared" si="9"/>
        <v>5.5500000000000001E-2</v>
      </c>
      <c r="O16" s="45">
        <f t="shared" si="9"/>
        <v>5.5500000000000001E-2</v>
      </c>
      <c r="P16" s="45">
        <f t="shared" si="9"/>
        <v>5.5500000000000001E-2</v>
      </c>
      <c r="Q16" s="45">
        <f t="shared" si="9"/>
        <v>5.5500000000000001E-2</v>
      </c>
    </row>
    <row r="17" spans="1:18" s="1" customFormat="1" x14ac:dyDescent="0.25">
      <c r="A17" s="22" t="s">
        <v>42</v>
      </c>
      <c r="B17" s="29">
        <f>'Input-Output Data'!B11</f>
        <v>0.45</v>
      </c>
      <c r="C17" s="45">
        <f>B17</f>
        <v>0.45</v>
      </c>
      <c r="D17" s="45">
        <f t="shared" ref="D17:L17" si="10">C17</f>
        <v>0.45</v>
      </c>
      <c r="E17" s="45">
        <f t="shared" si="10"/>
        <v>0.45</v>
      </c>
      <c r="F17" s="45">
        <f t="shared" si="10"/>
        <v>0.45</v>
      </c>
      <c r="G17" s="45">
        <f t="shared" si="10"/>
        <v>0.45</v>
      </c>
      <c r="H17" s="45">
        <f t="shared" si="10"/>
        <v>0.45</v>
      </c>
      <c r="I17" s="45">
        <f t="shared" si="10"/>
        <v>0.45</v>
      </c>
      <c r="J17" s="45">
        <f t="shared" si="10"/>
        <v>0.45</v>
      </c>
      <c r="K17" s="45">
        <f t="shared" si="10"/>
        <v>0.45</v>
      </c>
      <c r="L17" s="45">
        <f t="shared" si="10"/>
        <v>0.45</v>
      </c>
      <c r="M17" s="45">
        <f t="shared" ref="M17" si="11">L17</f>
        <v>0.45</v>
      </c>
      <c r="N17" s="45">
        <f t="shared" ref="N17" si="12">M17</f>
        <v>0.45</v>
      </c>
      <c r="O17" s="45">
        <f t="shared" ref="O17" si="13">N17</f>
        <v>0.45</v>
      </c>
      <c r="P17" s="45">
        <f t="shared" ref="P17" si="14">O17</f>
        <v>0.45</v>
      </c>
      <c r="Q17" s="45">
        <f t="shared" ref="Q17" si="15">P17</f>
        <v>0.45</v>
      </c>
    </row>
    <row r="18" spans="1:18" s="1" customFormat="1" x14ac:dyDescent="0.25">
      <c r="A18" s="22" t="s">
        <v>27</v>
      </c>
      <c r="B18" s="29">
        <f>B16*(1-B17)</f>
        <v>3.0525000000000004E-2</v>
      </c>
      <c r="C18" s="45">
        <f t="shared" ref="C18:L18" si="16">C16*(1-C17)</f>
        <v>3.0525000000000004E-2</v>
      </c>
      <c r="D18" s="29">
        <f t="shared" si="16"/>
        <v>3.0525000000000004E-2</v>
      </c>
      <c r="E18" s="45">
        <f t="shared" si="16"/>
        <v>3.0525000000000004E-2</v>
      </c>
      <c r="F18" s="29">
        <f t="shared" si="16"/>
        <v>3.0525000000000004E-2</v>
      </c>
      <c r="G18" s="45">
        <f t="shared" si="16"/>
        <v>3.0525000000000004E-2</v>
      </c>
      <c r="H18" s="29">
        <f t="shared" si="16"/>
        <v>3.0525000000000004E-2</v>
      </c>
      <c r="I18" s="45">
        <f t="shared" si="16"/>
        <v>3.0525000000000004E-2</v>
      </c>
      <c r="J18" s="29">
        <f t="shared" si="16"/>
        <v>3.0525000000000004E-2</v>
      </c>
      <c r="K18" s="45">
        <f t="shared" si="16"/>
        <v>3.0525000000000004E-2</v>
      </c>
      <c r="L18" s="32">
        <f t="shared" si="16"/>
        <v>3.0525000000000004E-2</v>
      </c>
      <c r="M18" s="29">
        <f t="shared" ref="M18:Q18" si="17">M16*(1-M17)</f>
        <v>3.0525000000000004E-2</v>
      </c>
      <c r="N18" s="45">
        <f t="shared" si="17"/>
        <v>3.0525000000000004E-2</v>
      </c>
      <c r="O18" s="29">
        <f t="shared" si="17"/>
        <v>3.0525000000000004E-2</v>
      </c>
      <c r="P18" s="45">
        <f t="shared" si="17"/>
        <v>3.0525000000000004E-2</v>
      </c>
      <c r="Q18" s="32">
        <f t="shared" si="17"/>
        <v>3.0525000000000004E-2</v>
      </c>
    </row>
    <row r="19" spans="1:18" s="1" customFormat="1" x14ac:dyDescent="0.25">
      <c r="A19" s="22" t="s">
        <v>40</v>
      </c>
      <c r="B19" s="20">
        <f>B16*B3</f>
        <v>33300</v>
      </c>
      <c r="C19" s="42">
        <f t="shared" ref="C19:L19" si="18">C16*C3</f>
        <v>34299</v>
      </c>
      <c r="D19" s="20">
        <f t="shared" si="18"/>
        <v>35327.97</v>
      </c>
      <c r="E19" s="42">
        <f t="shared" si="18"/>
        <v>36387.809100000006</v>
      </c>
      <c r="F19" s="20">
        <f t="shared" si="18"/>
        <v>37479.443373000002</v>
      </c>
      <c r="G19" s="42">
        <f t="shared" si="18"/>
        <v>38603.826674190008</v>
      </c>
      <c r="H19" s="20">
        <f t="shared" si="18"/>
        <v>39761.941474415704</v>
      </c>
      <c r="I19" s="42">
        <f t="shared" si="18"/>
        <v>40954.799718648173</v>
      </c>
      <c r="J19" s="20">
        <f t="shared" si="18"/>
        <v>42183.443710207619</v>
      </c>
      <c r="K19" s="42">
        <f t="shared" si="18"/>
        <v>43448.94702151385</v>
      </c>
      <c r="L19" s="23">
        <f t="shared" si="18"/>
        <v>44752.415432159272</v>
      </c>
      <c r="M19" s="20">
        <f t="shared" ref="M19:Q19" si="19">M16*M3</f>
        <v>46094.987895124053</v>
      </c>
      <c r="N19" s="42">
        <f t="shared" si="19"/>
        <v>47477.837531977777</v>
      </c>
      <c r="O19" s="20">
        <f t="shared" si="19"/>
        <v>48902.17265793711</v>
      </c>
      <c r="P19" s="42">
        <f t="shared" si="19"/>
        <v>50369.237837675231</v>
      </c>
      <c r="Q19" s="23">
        <f t="shared" si="19"/>
        <v>51880.314972805492</v>
      </c>
    </row>
    <row r="20" spans="1:18" s="1" customFormat="1" ht="15.75" thickBot="1" x14ac:dyDescent="0.3">
      <c r="A20" s="24" t="s">
        <v>22</v>
      </c>
      <c r="B20" s="43">
        <f>B3*B18</f>
        <v>18315.000000000004</v>
      </c>
      <c r="C20" s="43">
        <f t="shared" ref="C20:L20" si="20">C3*C18</f>
        <v>18864.45</v>
      </c>
      <c r="D20" s="25">
        <f t="shared" si="20"/>
        <v>19430.383500000004</v>
      </c>
      <c r="E20" s="43">
        <f t="shared" si="20"/>
        <v>20013.295005000004</v>
      </c>
      <c r="F20" s="25">
        <f t="shared" si="20"/>
        <v>20613.693855150006</v>
      </c>
      <c r="G20" s="43">
        <f t="shared" si="20"/>
        <v>21232.104670804507</v>
      </c>
      <c r="H20" s="25">
        <f t="shared" si="20"/>
        <v>21869.067810928642</v>
      </c>
      <c r="I20" s="43">
        <f t="shared" si="20"/>
        <v>22525.139845256501</v>
      </c>
      <c r="J20" s="25">
        <f t="shared" si="20"/>
        <v>23200.894040614196</v>
      </c>
      <c r="K20" s="43">
        <f t="shared" si="20"/>
        <v>23896.920861832623</v>
      </c>
      <c r="L20" s="26">
        <f t="shared" si="20"/>
        <v>24613.828487687602</v>
      </c>
      <c r="M20" s="25">
        <f t="shared" ref="M20:Q20" si="21">M3*M18</f>
        <v>25352.24334231823</v>
      </c>
      <c r="N20" s="43">
        <f t="shared" si="21"/>
        <v>26112.810642587781</v>
      </c>
      <c r="O20" s="25">
        <f t="shared" si="21"/>
        <v>26896.194961865414</v>
      </c>
      <c r="P20" s="43">
        <f t="shared" si="21"/>
        <v>27703.080810721378</v>
      </c>
      <c r="Q20" s="26">
        <f t="shared" si="21"/>
        <v>28534.173235043021</v>
      </c>
    </row>
    <row r="21" spans="1:18" s="1" customFormat="1" ht="7.5" customHeight="1" thickBot="1" x14ac:dyDescent="0.3">
      <c r="A21" s="107"/>
      <c r="B21" s="107"/>
      <c r="C21" s="107"/>
      <c r="D21" s="107"/>
      <c r="E21" s="107"/>
      <c r="F21" s="107"/>
      <c r="G21" s="107"/>
      <c r="H21" s="107"/>
      <c r="I21" s="107"/>
      <c r="J21" s="107"/>
      <c r="K21" s="107"/>
      <c r="L21" s="107"/>
      <c r="M21" s="107"/>
      <c r="N21" s="107"/>
      <c r="O21" s="107"/>
      <c r="P21" s="107"/>
      <c r="Q21" s="107"/>
    </row>
    <row r="22" spans="1:18" s="1" customFormat="1" x14ac:dyDescent="0.25">
      <c r="A22" s="30" t="s">
        <v>45</v>
      </c>
      <c r="B22" s="21" t="s">
        <v>46</v>
      </c>
      <c r="C22" s="21" t="s">
        <v>46</v>
      </c>
      <c r="D22" s="21" t="s">
        <v>46</v>
      </c>
      <c r="E22" s="21" t="s">
        <v>46</v>
      </c>
      <c r="F22" s="21" t="s">
        <v>46</v>
      </c>
      <c r="G22" s="21" t="s">
        <v>46</v>
      </c>
      <c r="H22" s="21" t="s">
        <v>47</v>
      </c>
      <c r="I22" s="21" t="s">
        <v>47</v>
      </c>
      <c r="J22" s="21" t="s">
        <v>47</v>
      </c>
      <c r="K22" s="21" t="s">
        <v>47</v>
      </c>
      <c r="L22" s="21" t="s">
        <v>47</v>
      </c>
      <c r="M22" s="21" t="s">
        <v>47</v>
      </c>
      <c r="N22" s="21" t="s">
        <v>47</v>
      </c>
      <c r="O22" s="21" t="s">
        <v>47</v>
      </c>
      <c r="P22" s="21" t="s">
        <v>47</v>
      </c>
      <c r="Q22" s="21" t="s">
        <v>47</v>
      </c>
    </row>
    <row r="23" spans="1:18" s="1" customFormat="1" x14ac:dyDescent="0.25">
      <c r="A23" s="57" t="s">
        <v>51</v>
      </c>
      <c r="B23" s="58">
        <f>'Input-Output Data'!B8</f>
        <v>5.9900000000000002E-2</v>
      </c>
      <c r="C23" s="58">
        <f>$B$23</f>
        <v>5.9900000000000002E-2</v>
      </c>
      <c r="D23" s="58">
        <f t="shared" ref="D23:Q23" si="22">$B$23</f>
        <v>5.9900000000000002E-2</v>
      </c>
      <c r="E23" s="58">
        <f t="shared" si="22"/>
        <v>5.9900000000000002E-2</v>
      </c>
      <c r="F23" s="58">
        <f t="shared" si="22"/>
        <v>5.9900000000000002E-2</v>
      </c>
      <c r="G23" s="58">
        <f t="shared" si="22"/>
        <v>5.9900000000000002E-2</v>
      </c>
      <c r="H23" s="58">
        <f t="shared" si="22"/>
        <v>5.9900000000000002E-2</v>
      </c>
      <c r="I23" s="58">
        <f t="shared" si="22"/>
        <v>5.9900000000000002E-2</v>
      </c>
      <c r="J23" s="58">
        <f t="shared" si="22"/>
        <v>5.9900000000000002E-2</v>
      </c>
      <c r="K23" s="58">
        <f t="shared" si="22"/>
        <v>5.9900000000000002E-2</v>
      </c>
      <c r="L23" s="58">
        <f t="shared" si="22"/>
        <v>5.9900000000000002E-2</v>
      </c>
      <c r="M23" s="58">
        <f t="shared" si="22"/>
        <v>5.9900000000000002E-2</v>
      </c>
      <c r="N23" s="58">
        <f t="shared" si="22"/>
        <v>5.9900000000000002E-2</v>
      </c>
      <c r="O23" s="58">
        <f t="shared" si="22"/>
        <v>5.9900000000000002E-2</v>
      </c>
      <c r="P23" s="58">
        <f t="shared" si="22"/>
        <v>5.9900000000000002E-2</v>
      </c>
      <c r="Q23" s="58">
        <f t="shared" si="22"/>
        <v>5.9900000000000002E-2</v>
      </c>
    </row>
    <row r="24" spans="1:18" s="1" customFormat="1" x14ac:dyDescent="0.25">
      <c r="A24" s="57" t="s">
        <v>52</v>
      </c>
      <c r="B24" s="59">
        <f>'Input-Output Data'!B14</f>
        <v>30</v>
      </c>
      <c r="C24" s="59">
        <f>$B$24</f>
        <v>30</v>
      </c>
      <c r="D24" s="59">
        <f t="shared" ref="D24:Q24" si="23">$B$24</f>
        <v>30</v>
      </c>
      <c r="E24" s="59">
        <f t="shared" si="23"/>
        <v>30</v>
      </c>
      <c r="F24" s="59">
        <f t="shared" si="23"/>
        <v>30</v>
      </c>
      <c r="G24" s="59">
        <f t="shared" si="23"/>
        <v>30</v>
      </c>
      <c r="H24" s="59">
        <f t="shared" si="23"/>
        <v>30</v>
      </c>
      <c r="I24" s="59">
        <f t="shared" si="23"/>
        <v>30</v>
      </c>
      <c r="J24" s="59">
        <f t="shared" si="23"/>
        <v>30</v>
      </c>
      <c r="K24" s="59">
        <f t="shared" si="23"/>
        <v>30</v>
      </c>
      <c r="L24" s="59">
        <f t="shared" si="23"/>
        <v>30</v>
      </c>
      <c r="M24" s="59">
        <f t="shared" si="23"/>
        <v>30</v>
      </c>
      <c r="N24" s="59">
        <f t="shared" si="23"/>
        <v>30</v>
      </c>
      <c r="O24" s="59">
        <f t="shared" si="23"/>
        <v>30</v>
      </c>
      <c r="P24" s="59">
        <f t="shared" si="23"/>
        <v>30</v>
      </c>
      <c r="Q24" s="59">
        <f t="shared" si="23"/>
        <v>30</v>
      </c>
    </row>
    <row r="25" spans="1:18" s="1" customFormat="1" ht="15.75" thickBot="1" x14ac:dyDescent="0.3">
      <c r="A25" s="22" t="s">
        <v>50</v>
      </c>
      <c r="B25" s="61">
        <f>IF(B22="Int Only",'Input-Output Data'!$B$17,'Input-Output Data'!$B$18)</f>
        <v>2396</v>
      </c>
      <c r="C25" s="61">
        <f>IF(C22="Int Only",'Input-Output Data'!$B$17,'Input-Output Data'!$B$18)</f>
        <v>2396</v>
      </c>
      <c r="D25" s="61">
        <f>IF(D22="Int Only",'Input-Output Data'!$B$17,'Input-Output Data'!$B$18)</f>
        <v>2396</v>
      </c>
      <c r="E25" s="61">
        <f>IF(E22="Int Only",'Input-Output Data'!$B$17,'Input-Output Data'!$B$18)</f>
        <v>2396</v>
      </c>
      <c r="F25" s="61">
        <f>IF(F22="Int Only",'Input-Output Data'!$B$17,'Input-Output Data'!$B$18)</f>
        <v>2396</v>
      </c>
      <c r="G25" s="61">
        <f>IF(G22="Int Only",'Input-Output Data'!$B$17,'Input-Output Data'!$B$18)</f>
        <v>2396</v>
      </c>
      <c r="H25" s="61">
        <f>IF(H22="Int Only",'Input-Output Data'!$B$17,'Input-Output Data'!$B$18)</f>
        <v>3089.7132452937162</v>
      </c>
      <c r="I25" s="61">
        <f>IF(I22="Int Only",'Input-Output Data'!$B$17,'Input-Output Data'!$B$18)</f>
        <v>3089.7132452937162</v>
      </c>
      <c r="J25" s="61">
        <f>IF(J22="Int Only",'Input-Output Data'!$B$17,'Input-Output Data'!$B$18)</f>
        <v>3089.7132452937162</v>
      </c>
      <c r="K25" s="61">
        <f>IF(K22="Int Only",'Input-Output Data'!$B$17,'Input-Output Data'!$B$18)</f>
        <v>3089.7132452937162</v>
      </c>
      <c r="L25" s="61">
        <f>IF(L22="Int Only",'Input-Output Data'!$B$17,'Input-Output Data'!$B$18)</f>
        <v>3089.7132452937162</v>
      </c>
      <c r="M25" s="61">
        <f>IF(M22="Int Only",'Input-Output Data'!$B$17,'Input-Output Data'!$B$18)</f>
        <v>3089.7132452937162</v>
      </c>
      <c r="N25" s="61">
        <f>IF(N22="Int Only",'Input-Output Data'!$B$17,'Input-Output Data'!$B$18)</f>
        <v>3089.7132452937162</v>
      </c>
      <c r="O25" s="61">
        <f>IF(O22="Int Only",'Input-Output Data'!$B$17,'Input-Output Data'!$B$18)</f>
        <v>3089.7132452937162</v>
      </c>
      <c r="P25" s="61">
        <f>IF(P22="Int Only",'Input-Output Data'!$B$17,'Input-Output Data'!$B$18)</f>
        <v>3089.7132452937162</v>
      </c>
      <c r="Q25" s="61">
        <f>IF(Q22="Int Only",'Input-Output Data'!$B$17,'Input-Output Data'!$B$18)</f>
        <v>3089.7132452937162</v>
      </c>
    </row>
    <row r="26" spans="1:18" s="1" customFormat="1" ht="15.75" thickBot="1" x14ac:dyDescent="0.3">
      <c r="A26" s="24" t="s">
        <v>49</v>
      </c>
      <c r="B26" s="60">
        <f>12*B25</f>
        <v>28752</v>
      </c>
      <c r="C26" s="60">
        <f t="shared" ref="C26:L26" si="24">12*C25</f>
        <v>28752</v>
      </c>
      <c r="D26" s="60">
        <f t="shared" si="24"/>
        <v>28752</v>
      </c>
      <c r="E26" s="60">
        <f t="shared" si="24"/>
        <v>28752</v>
      </c>
      <c r="F26" s="60">
        <f t="shared" si="24"/>
        <v>28752</v>
      </c>
      <c r="G26" s="60">
        <f t="shared" si="24"/>
        <v>28752</v>
      </c>
      <c r="H26" s="60">
        <f t="shared" si="24"/>
        <v>37076.558943524593</v>
      </c>
      <c r="I26" s="60">
        <f t="shared" si="24"/>
        <v>37076.558943524593</v>
      </c>
      <c r="J26" s="60">
        <f t="shared" si="24"/>
        <v>37076.558943524593</v>
      </c>
      <c r="K26" s="60">
        <f t="shared" si="24"/>
        <v>37076.558943524593</v>
      </c>
      <c r="L26" s="60">
        <f t="shared" si="24"/>
        <v>37076.558943524593</v>
      </c>
      <c r="M26" s="60">
        <f t="shared" ref="M26:Q26" si="25">12*M25</f>
        <v>37076.558943524593</v>
      </c>
      <c r="N26" s="60">
        <f t="shared" si="25"/>
        <v>37076.558943524593</v>
      </c>
      <c r="O26" s="60">
        <f t="shared" si="25"/>
        <v>37076.558943524593</v>
      </c>
      <c r="P26" s="60">
        <f t="shared" si="25"/>
        <v>37076.558943524593</v>
      </c>
      <c r="Q26" s="69">
        <f t="shared" si="25"/>
        <v>37076.558943524593</v>
      </c>
      <c r="R26" s="51">
        <f>SUM(C26:Q26)</f>
        <v>514525.58943524607</v>
      </c>
    </row>
    <row r="27" spans="1:18" s="1" customFormat="1" ht="8.25" customHeight="1" thickBot="1" x14ac:dyDescent="0.3">
      <c r="A27" s="107"/>
      <c r="B27" s="107"/>
      <c r="C27" s="107"/>
      <c r="D27" s="107"/>
      <c r="E27" s="107"/>
      <c r="F27" s="107"/>
      <c r="G27" s="107"/>
      <c r="H27" s="107"/>
      <c r="I27" s="107"/>
      <c r="J27" s="107"/>
      <c r="K27" s="107"/>
      <c r="L27" s="107"/>
      <c r="M27" s="107"/>
      <c r="N27" s="107"/>
      <c r="O27" s="107"/>
      <c r="P27" s="107"/>
      <c r="Q27" s="107"/>
    </row>
    <row r="28" spans="1:18" s="1" customFormat="1" ht="15.75" thickBot="1" x14ac:dyDescent="0.3">
      <c r="A28" s="33" t="s">
        <v>1</v>
      </c>
      <c r="B28" s="49" t="s">
        <v>3</v>
      </c>
      <c r="C28" s="50">
        <f t="shared" ref="C28:Q28" si="26">C20-C26</f>
        <v>-9887.5499999999993</v>
      </c>
      <c r="D28" s="51">
        <f t="shared" si="26"/>
        <v>-9321.6164999999964</v>
      </c>
      <c r="E28" s="50">
        <f t="shared" si="26"/>
        <v>-8738.7049949999964</v>
      </c>
      <c r="F28" s="51">
        <f t="shared" si="26"/>
        <v>-8138.3061448499939</v>
      </c>
      <c r="G28" s="48">
        <f t="shared" si="26"/>
        <v>-7519.8953291954931</v>
      </c>
      <c r="H28" s="51">
        <f t="shared" si="26"/>
        <v>-15207.491132595951</v>
      </c>
      <c r="I28" s="48">
        <f t="shared" si="26"/>
        <v>-14551.419098268092</v>
      </c>
      <c r="J28" s="51">
        <f t="shared" si="26"/>
        <v>-13875.664902910397</v>
      </c>
      <c r="K28" s="50">
        <f t="shared" si="26"/>
        <v>-13179.63808169197</v>
      </c>
      <c r="L28" s="52">
        <f t="shared" si="26"/>
        <v>-12462.730455836991</v>
      </c>
      <c r="M28" s="51">
        <f t="shared" si="26"/>
        <v>-11724.315601206363</v>
      </c>
      <c r="N28" s="48">
        <f t="shared" si="26"/>
        <v>-10963.748300936812</v>
      </c>
      <c r="O28" s="51">
        <f t="shared" si="26"/>
        <v>-10180.363981659179</v>
      </c>
      <c r="P28" s="50">
        <f t="shared" si="26"/>
        <v>-9373.478132803215</v>
      </c>
      <c r="Q28" s="52">
        <f t="shared" si="26"/>
        <v>-8542.3857084815718</v>
      </c>
      <c r="R28" s="51">
        <f>SUM(C28:Q28)</f>
        <v>-163667.30836543601</v>
      </c>
    </row>
  </sheetData>
  <sheetProtection formatColumns="0" selectLockedCells="1"/>
  <mergeCells count="4">
    <mergeCell ref="A1:Q1"/>
    <mergeCell ref="A13:Q13"/>
    <mergeCell ref="A21:Q21"/>
    <mergeCell ref="A27:Q27"/>
  </mergeCells>
  <pageMargins left="0.7" right="0.7" top="0.75" bottom="0.75" header="0.3" footer="0.3"/>
  <pageSetup paperSize="9" scale="78" orientation="landscape" horizontalDpi="1200" verticalDpi="1200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EB1FCB35-DB6E-4A42-A7BF-541A730301BA}">
          <x14:formula1>
            <xm:f>Sheet1!$A$2:$A$3</xm:f>
          </x14:formula1>
          <xm:sqref>B22:Q22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FA833B-FDBE-4C4C-A3A0-2A2AFF2E74BE}">
  <sheetPr>
    <pageSetUpPr fitToPage="1"/>
  </sheetPr>
  <dimension ref="A1:R28"/>
  <sheetViews>
    <sheetView showGridLines="0" showWhiteSpace="0" zoomScale="115" zoomScaleNormal="115" workbookViewId="0">
      <selection activeCell="R28" sqref="R28"/>
    </sheetView>
  </sheetViews>
  <sheetFormatPr defaultRowHeight="15" x14ac:dyDescent="0.25"/>
  <cols>
    <col min="1" max="1" width="28.7109375" customWidth="1"/>
    <col min="2" max="2" width="13.140625" style="2" bestFit="1" customWidth="1"/>
    <col min="3" max="12" width="11.140625" style="2" bestFit="1" customWidth="1"/>
    <col min="13" max="18" width="11.140625" bestFit="1" customWidth="1"/>
  </cols>
  <sheetData>
    <row r="1" spans="1:17" ht="41.45" customHeight="1" thickBot="1" x14ac:dyDescent="0.3">
      <c r="A1" s="103" t="s">
        <v>67</v>
      </c>
      <c r="B1" s="104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</row>
    <row r="2" spans="1:17" ht="15.75" thickBot="1" x14ac:dyDescent="0.3">
      <c r="A2" s="36"/>
      <c r="B2" s="62" t="s">
        <v>83</v>
      </c>
      <c r="C2" s="68" t="s">
        <v>57</v>
      </c>
      <c r="D2" s="34" t="s">
        <v>58</v>
      </c>
      <c r="E2" s="46" t="s">
        <v>59</v>
      </c>
      <c r="F2" s="34" t="s">
        <v>60</v>
      </c>
      <c r="G2" s="34" t="s">
        <v>61</v>
      </c>
      <c r="H2" s="34" t="s">
        <v>62</v>
      </c>
      <c r="I2" s="34" t="s">
        <v>63</v>
      </c>
      <c r="J2" s="34" t="s">
        <v>64</v>
      </c>
      <c r="K2" s="34" t="s">
        <v>65</v>
      </c>
      <c r="L2" s="34" t="s">
        <v>66</v>
      </c>
      <c r="M2" s="34" t="s">
        <v>69</v>
      </c>
      <c r="N2" s="34" t="s">
        <v>70</v>
      </c>
      <c r="O2" s="34" t="s">
        <v>71</v>
      </c>
      <c r="P2" s="34" t="s">
        <v>72</v>
      </c>
      <c r="Q2" s="35" t="s">
        <v>55</v>
      </c>
    </row>
    <row r="3" spans="1:17" x14ac:dyDescent="0.25">
      <c r="A3" s="22" t="s">
        <v>12</v>
      </c>
      <c r="B3" s="63">
        <f>'BuyHold1-15'!Q3</f>
        <v>934780.44996045926</v>
      </c>
      <c r="C3" s="67">
        <f>'BuyHold1-15'!Q3*(1+'BuyHold16-30'!C14)</f>
        <v>962823.86345927301</v>
      </c>
      <c r="D3" s="38">
        <f t="shared" ref="D3:K3" si="0">C3*(1+D14)</f>
        <v>991708.57936305122</v>
      </c>
      <c r="E3" s="41">
        <f t="shared" si="0"/>
        <v>1021459.8367439428</v>
      </c>
      <c r="F3" s="38">
        <f t="shared" si="0"/>
        <v>1052103.6318462612</v>
      </c>
      <c r="G3" s="41">
        <f t="shared" si="0"/>
        <v>1083666.7408016492</v>
      </c>
      <c r="H3" s="38">
        <f t="shared" si="0"/>
        <v>1116176.7430256987</v>
      </c>
      <c r="I3" s="41">
        <f t="shared" si="0"/>
        <v>1149662.0453164696</v>
      </c>
      <c r="J3" s="38">
        <f t="shared" si="0"/>
        <v>1184151.9066759637</v>
      </c>
      <c r="K3" s="41">
        <f t="shared" si="0"/>
        <v>1219676.4638762425</v>
      </c>
      <c r="L3" s="38">
        <f>K3*(1+L14)</f>
        <v>1256266.7577925299</v>
      </c>
      <c r="M3" s="38">
        <f>L3*(1+M14)</f>
        <v>1293954.7605263058</v>
      </c>
      <c r="N3" s="41">
        <f t="shared" ref="N3" si="1">M3*(1+N14)</f>
        <v>1332773.403342095</v>
      </c>
      <c r="O3" s="38">
        <f t="shared" ref="O3" si="2">N3*(1+O14)</f>
        <v>1372756.6054423579</v>
      </c>
      <c r="P3" s="41">
        <f t="shared" ref="P3" si="3">O3*(1+P14)</f>
        <v>1413939.3036056287</v>
      </c>
      <c r="Q3" s="39">
        <f t="shared" ref="Q3" si="4">P3*(1+Q14)</f>
        <v>1456357.4827137976</v>
      </c>
    </row>
    <row r="4" spans="1:17" x14ac:dyDescent="0.25">
      <c r="A4" s="22" t="s">
        <v>11</v>
      </c>
      <c r="B4" s="64">
        <f>'BuyHold1-15'!Q4</f>
        <v>480000</v>
      </c>
      <c r="C4" s="65">
        <v>480000</v>
      </c>
      <c r="D4" s="20">
        <v>480000</v>
      </c>
      <c r="E4" s="42">
        <v>480000</v>
      </c>
      <c r="F4" s="20">
        <v>480000</v>
      </c>
      <c r="G4" s="42">
        <v>480000</v>
      </c>
      <c r="H4" s="20">
        <v>480000</v>
      </c>
      <c r="I4" s="42">
        <v>480000</v>
      </c>
      <c r="J4" s="20">
        <v>480000</v>
      </c>
      <c r="K4" s="42">
        <v>480000</v>
      </c>
      <c r="L4" s="20">
        <v>480000</v>
      </c>
      <c r="M4" s="20">
        <v>480000</v>
      </c>
      <c r="N4" s="42">
        <v>480000</v>
      </c>
      <c r="O4" s="20">
        <v>480000</v>
      </c>
      <c r="P4" s="42">
        <v>480000</v>
      </c>
      <c r="Q4" s="23">
        <v>480000</v>
      </c>
    </row>
    <row r="5" spans="1:17" x14ac:dyDescent="0.25">
      <c r="A5" s="22" t="s">
        <v>10</v>
      </c>
      <c r="B5" s="64">
        <f>'BuyHold1-15'!Q5</f>
        <v>120000</v>
      </c>
      <c r="C5" s="65">
        <v>120000</v>
      </c>
      <c r="D5" s="20">
        <v>120000</v>
      </c>
      <c r="E5" s="42">
        <v>120000</v>
      </c>
      <c r="F5" s="20">
        <v>120000</v>
      </c>
      <c r="G5" s="42">
        <v>120000</v>
      </c>
      <c r="H5" s="20">
        <v>120000</v>
      </c>
      <c r="I5" s="42">
        <v>120000</v>
      </c>
      <c r="J5" s="20">
        <v>120000</v>
      </c>
      <c r="K5" s="42">
        <v>120000</v>
      </c>
      <c r="L5" s="20">
        <v>120000</v>
      </c>
      <c r="M5" s="20">
        <v>120000</v>
      </c>
      <c r="N5" s="42">
        <v>120000</v>
      </c>
      <c r="O5" s="20">
        <v>120000</v>
      </c>
      <c r="P5" s="42">
        <v>120000</v>
      </c>
      <c r="Q5" s="23">
        <v>120000</v>
      </c>
    </row>
    <row r="6" spans="1:17" x14ac:dyDescent="0.25">
      <c r="A6" s="22" t="s">
        <v>9</v>
      </c>
      <c r="B6" s="64">
        <f>'BuyHold1-15'!Q6</f>
        <v>36000</v>
      </c>
      <c r="C6" s="65">
        <v>36000</v>
      </c>
      <c r="D6" s="20">
        <v>36000</v>
      </c>
      <c r="E6" s="42">
        <v>36000</v>
      </c>
      <c r="F6" s="20">
        <v>36000</v>
      </c>
      <c r="G6" s="42">
        <v>36000</v>
      </c>
      <c r="H6" s="20">
        <v>36000</v>
      </c>
      <c r="I6" s="42">
        <v>36000</v>
      </c>
      <c r="J6" s="20">
        <v>36000</v>
      </c>
      <c r="K6" s="42">
        <v>36000</v>
      </c>
      <c r="L6" s="20">
        <v>36000</v>
      </c>
      <c r="M6" s="20">
        <v>36000</v>
      </c>
      <c r="N6" s="42">
        <v>36000</v>
      </c>
      <c r="O6" s="20">
        <v>36000</v>
      </c>
      <c r="P6" s="42">
        <v>36000</v>
      </c>
      <c r="Q6" s="23">
        <v>36000</v>
      </c>
    </row>
    <row r="7" spans="1:17" x14ac:dyDescent="0.25">
      <c r="A7" s="22" t="s">
        <v>8</v>
      </c>
      <c r="B7" s="64">
        <f>'BuyHold1-15'!Q7</f>
        <v>0</v>
      </c>
      <c r="C7" s="65">
        <v>0</v>
      </c>
      <c r="D7" s="20">
        <v>0</v>
      </c>
      <c r="E7" s="42">
        <v>0</v>
      </c>
      <c r="F7" s="20">
        <v>0</v>
      </c>
      <c r="G7" s="42">
        <v>0</v>
      </c>
      <c r="H7" s="20">
        <v>0</v>
      </c>
      <c r="I7" s="42">
        <v>0</v>
      </c>
      <c r="J7" s="20">
        <v>0</v>
      </c>
      <c r="K7" s="42">
        <v>0</v>
      </c>
      <c r="L7" s="20">
        <v>0</v>
      </c>
      <c r="M7" s="20">
        <v>0</v>
      </c>
      <c r="N7" s="42">
        <v>0</v>
      </c>
      <c r="O7" s="20">
        <v>0</v>
      </c>
      <c r="P7" s="42">
        <v>0</v>
      </c>
      <c r="Q7" s="23">
        <v>0</v>
      </c>
    </row>
    <row r="8" spans="1:17" ht="15" customHeight="1" x14ac:dyDescent="0.25">
      <c r="A8" s="22" t="s">
        <v>7</v>
      </c>
      <c r="B8" s="64">
        <f>'BuyHold1-15'!Q8</f>
        <v>0</v>
      </c>
      <c r="C8" s="65">
        <v>0</v>
      </c>
      <c r="D8" s="20">
        <v>0</v>
      </c>
      <c r="E8" s="42">
        <v>0</v>
      </c>
      <c r="F8" s="20">
        <v>0</v>
      </c>
      <c r="G8" s="42">
        <v>0</v>
      </c>
      <c r="H8" s="20">
        <v>0</v>
      </c>
      <c r="I8" s="42">
        <v>0</v>
      </c>
      <c r="J8" s="20">
        <v>0</v>
      </c>
      <c r="K8" s="42">
        <v>0</v>
      </c>
      <c r="L8" s="20">
        <v>0</v>
      </c>
      <c r="M8" s="20">
        <v>0</v>
      </c>
      <c r="N8" s="42">
        <v>0</v>
      </c>
      <c r="O8" s="20">
        <v>0</v>
      </c>
      <c r="P8" s="42">
        <v>0</v>
      </c>
      <c r="Q8" s="23">
        <v>0</v>
      </c>
    </row>
    <row r="9" spans="1:17" x14ac:dyDescent="0.25">
      <c r="A9" s="22" t="s">
        <v>6</v>
      </c>
      <c r="B9" s="64">
        <f>'BuyHold1-15'!Q9</f>
        <v>0</v>
      </c>
      <c r="C9" s="65">
        <v>0</v>
      </c>
      <c r="D9" s="20">
        <v>0</v>
      </c>
      <c r="E9" s="42">
        <v>0</v>
      </c>
      <c r="F9" s="20">
        <v>0</v>
      </c>
      <c r="G9" s="42">
        <v>0</v>
      </c>
      <c r="H9" s="20">
        <v>0</v>
      </c>
      <c r="I9" s="42">
        <v>0</v>
      </c>
      <c r="J9" s="20">
        <v>0</v>
      </c>
      <c r="K9" s="42">
        <v>0</v>
      </c>
      <c r="L9" s="20">
        <v>0</v>
      </c>
      <c r="M9" s="20">
        <v>0</v>
      </c>
      <c r="N9" s="42">
        <v>0</v>
      </c>
      <c r="O9" s="20">
        <v>0</v>
      </c>
      <c r="P9" s="42">
        <v>0</v>
      </c>
      <c r="Q9" s="23">
        <f>'BuyHold1-15'!Q9</f>
        <v>0</v>
      </c>
    </row>
    <row r="10" spans="1:17" x14ac:dyDescent="0.25">
      <c r="A10" s="22" t="s">
        <v>0</v>
      </c>
      <c r="B10" s="64">
        <f>'BuyHold1-15'!Q10</f>
        <v>0</v>
      </c>
      <c r="C10" s="65">
        <v>0</v>
      </c>
      <c r="D10" s="20">
        <v>0</v>
      </c>
      <c r="E10" s="42">
        <v>0</v>
      </c>
      <c r="F10" s="20">
        <v>0</v>
      </c>
      <c r="G10" s="42">
        <v>0</v>
      </c>
      <c r="H10" s="20">
        <v>0</v>
      </c>
      <c r="I10" s="42">
        <v>0</v>
      </c>
      <c r="J10" s="20">
        <v>0</v>
      </c>
      <c r="K10" s="42">
        <v>0</v>
      </c>
      <c r="L10" s="20">
        <v>0</v>
      </c>
      <c r="M10" s="20">
        <v>0</v>
      </c>
      <c r="N10" s="42">
        <v>0</v>
      </c>
      <c r="O10" s="20">
        <v>0</v>
      </c>
      <c r="P10" s="42">
        <v>0</v>
      </c>
      <c r="Q10" s="23">
        <v>0</v>
      </c>
    </row>
    <row r="11" spans="1:17" ht="15.75" thickBot="1" x14ac:dyDescent="0.3">
      <c r="A11" s="24" t="s">
        <v>5</v>
      </c>
      <c r="B11" s="64">
        <f>'BuyHold1-15'!Q11</f>
        <v>0</v>
      </c>
      <c r="C11" s="66">
        <v>0</v>
      </c>
      <c r="D11" s="25">
        <v>0</v>
      </c>
      <c r="E11" s="43">
        <v>0</v>
      </c>
      <c r="F11" s="25">
        <v>0</v>
      </c>
      <c r="G11" s="43">
        <v>0</v>
      </c>
      <c r="H11" s="25">
        <v>0</v>
      </c>
      <c r="I11" s="43">
        <v>0</v>
      </c>
      <c r="J11" s="25">
        <v>0</v>
      </c>
      <c r="K11" s="43">
        <v>0</v>
      </c>
      <c r="L11" s="25">
        <v>0</v>
      </c>
      <c r="M11" s="25">
        <v>0</v>
      </c>
      <c r="N11" s="43">
        <v>0</v>
      </c>
      <c r="O11" s="25">
        <v>0</v>
      </c>
      <c r="P11" s="43">
        <v>0</v>
      </c>
      <c r="Q11" s="26">
        <v>0</v>
      </c>
    </row>
    <row r="12" spans="1:17" ht="15.75" thickBot="1" x14ac:dyDescent="0.3">
      <c r="A12" s="27" t="s">
        <v>4</v>
      </c>
      <c r="B12" s="47">
        <f>(B3-B4)+B7+B10</f>
        <v>454780.44996045926</v>
      </c>
      <c r="C12" s="47">
        <f t="shared" ref="C12:Q12" si="5">(C3-C4)+C7+C10</f>
        <v>482823.86345927301</v>
      </c>
      <c r="D12" s="47">
        <f t="shared" si="5"/>
        <v>511708.57936305122</v>
      </c>
      <c r="E12" s="47">
        <f t="shared" si="5"/>
        <v>541459.83674394281</v>
      </c>
      <c r="F12" s="47">
        <f t="shared" si="5"/>
        <v>572103.63184626121</v>
      </c>
      <c r="G12" s="47">
        <f t="shared" si="5"/>
        <v>603666.74080164917</v>
      </c>
      <c r="H12" s="47">
        <f t="shared" si="5"/>
        <v>636176.7430256987</v>
      </c>
      <c r="I12" s="47">
        <f t="shared" si="5"/>
        <v>669662.04531646962</v>
      </c>
      <c r="J12" s="47">
        <f t="shared" si="5"/>
        <v>704151.90667596366</v>
      </c>
      <c r="K12" s="47">
        <f t="shared" si="5"/>
        <v>739676.46387624252</v>
      </c>
      <c r="L12" s="47">
        <f t="shared" si="5"/>
        <v>776266.75779252988</v>
      </c>
      <c r="M12" s="47">
        <f t="shared" si="5"/>
        <v>813954.76052630576</v>
      </c>
      <c r="N12" s="47">
        <f t="shared" si="5"/>
        <v>852773.40334209497</v>
      </c>
      <c r="O12" s="47">
        <f t="shared" si="5"/>
        <v>892756.60544235795</v>
      </c>
      <c r="P12" s="47">
        <f t="shared" si="5"/>
        <v>933939.30360562867</v>
      </c>
      <c r="Q12" s="47">
        <f t="shared" si="5"/>
        <v>976357.4827137976</v>
      </c>
    </row>
    <row r="13" spans="1:17" ht="15.75" thickBot="1" x14ac:dyDescent="0.3">
      <c r="A13" s="105"/>
      <c r="B13" s="106"/>
      <c r="C13" s="106"/>
      <c r="D13" s="106"/>
      <c r="E13" s="106"/>
      <c r="F13" s="106"/>
      <c r="G13" s="106"/>
      <c r="H13" s="106"/>
      <c r="I13" s="106"/>
      <c r="J13" s="106"/>
      <c r="K13" s="106"/>
      <c r="L13" s="106"/>
      <c r="M13" s="106"/>
      <c r="N13" s="106"/>
      <c r="O13" s="106"/>
      <c r="P13" s="106"/>
      <c r="Q13" s="106"/>
    </row>
    <row r="14" spans="1:17" x14ac:dyDescent="0.25">
      <c r="A14" s="30" t="s">
        <v>2</v>
      </c>
      <c r="B14" s="31">
        <f>'Input-Output Data'!B7</f>
        <v>0.03</v>
      </c>
      <c r="C14" s="44">
        <f>$B$14</f>
        <v>0.03</v>
      </c>
      <c r="D14" s="44">
        <f t="shared" ref="D14:Q14" si="6">$B$14</f>
        <v>0.03</v>
      </c>
      <c r="E14" s="44">
        <f t="shared" si="6"/>
        <v>0.03</v>
      </c>
      <c r="F14" s="44">
        <f t="shared" si="6"/>
        <v>0.03</v>
      </c>
      <c r="G14" s="44">
        <f t="shared" si="6"/>
        <v>0.03</v>
      </c>
      <c r="H14" s="44">
        <f t="shared" si="6"/>
        <v>0.03</v>
      </c>
      <c r="I14" s="44">
        <f t="shared" si="6"/>
        <v>0.03</v>
      </c>
      <c r="J14" s="44">
        <f t="shared" si="6"/>
        <v>0.03</v>
      </c>
      <c r="K14" s="44">
        <f t="shared" si="6"/>
        <v>0.03</v>
      </c>
      <c r="L14" s="44">
        <f t="shared" si="6"/>
        <v>0.03</v>
      </c>
      <c r="M14" s="44">
        <f t="shared" si="6"/>
        <v>0.03</v>
      </c>
      <c r="N14" s="44">
        <f t="shared" si="6"/>
        <v>0.03</v>
      </c>
      <c r="O14" s="44">
        <f t="shared" si="6"/>
        <v>0.03</v>
      </c>
      <c r="P14" s="44">
        <f t="shared" si="6"/>
        <v>0.03</v>
      </c>
      <c r="Q14" s="44">
        <f t="shared" si="6"/>
        <v>0.03</v>
      </c>
    </row>
    <row r="15" spans="1:17" s="1" customFormat="1" x14ac:dyDescent="0.25">
      <c r="A15" s="22" t="s">
        <v>28</v>
      </c>
      <c r="B15" s="29">
        <f>'Input-Output Data'!B8</f>
        <v>5.9900000000000002E-2</v>
      </c>
      <c r="C15" s="45">
        <f>$B$15</f>
        <v>5.9900000000000002E-2</v>
      </c>
      <c r="D15" s="45">
        <f t="shared" ref="D15:Q15" si="7">$B$15</f>
        <v>5.9900000000000002E-2</v>
      </c>
      <c r="E15" s="45">
        <f t="shared" si="7"/>
        <v>5.9900000000000002E-2</v>
      </c>
      <c r="F15" s="45">
        <f t="shared" si="7"/>
        <v>5.9900000000000002E-2</v>
      </c>
      <c r="G15" s="45">
        <f t="shared" si="7"/>
        <v>5.9900000000000002E-2</v>
      </c>
      <c r="H15" s="45">
        <f t="shared" si="7"/>
        <v>5.9900000000000002E-2</v>
      </c>
      <c r="I15" s="45">
        <f t="shared" si="7"/>
        <v>5.9900000000000002E-2</v>
      </c>
      <c r="J15" s="45">
        <f t="shared" si="7"/>
        <v>5.9900000000000002E-2</v>
      </c>
      <c r="K15" s="45">
        <f t="shared" si="7"/>
        <v>5.9900000000000002E-2</v>
      </c>
      <c r="L15" s="45">
        <f t="shared" si="7"/>
        <v>5.9900000000000002E-2</v>
      </c>
      <c r="M15" s="45">
        <f t="shared" si="7"/>
        <v>5.9900000000000002E-2</v>
      </c>
      <c r="N15" s="45">
        <f t="shared" si="7"/>
        <v>5.9900000000000002E-2</v>
      </c>
      <c r="O15" s="45">
        <f t="shared" si="7"/>
        <v>5.9900000000000002E-2</v>
      </c>
      <c r="P15" s="45">
        <f t="shared" si="7"/>
        <v>5.9900000000000002E-2</v>
      </c>
      <c r="Q15" s="45">
        <f t="shared" si="7"/>
        <v>5.9900000000000002E-2</v>
      </c>
    </row>
    <row r="16" spans="1:17" s="1" customFormat="1" x14ac:dyDescent="0.25">
      <c r="A16" s="22" t="s">
        <v>41</v>
      </c>
      <c r="B16" s="29">
        <f>'Input-Output Data'!B10</f>
        <v>5.5500000000000001E-2</v>
      </c>
      <c r="C16" s="45">
        <f>$B$16</f>
        <v>5.5500000000000001E-2</v>
      </c>
      <c r="D16" s="45">
        <f t="shared" ref="D16:Q16" si="8">$B$16</f>
        <v>5.5500000000000001E-2</v>
      </c>
      <c r="E16" s="45">
        <f t="shared" si="8"/>
        <v>5.5500000000000001E-2</v>
      </c>
      <c r="F16" s="45">
        <f t="shared" si="8"/>
        <v>5.5500000000000001E-2</v>
      </c>
      <c r="G16" s="45">
        <f t="shared" si="8"/>
        <v>5.5500000000000001E-2</v>
      </c>
      <c r="H16" s="45">
        <f t="shared" si="8"/>
        <v>5.5500000000000001E-2</v>
      </c>
      <c r="I16" s="45">
        <f t="shared" si="8"/>
        <v>5.5500000000000001E-2</v>
      </c>
      <c r="J16" s="45">
        <f t="shared" si="8"/>
        <v>5.5500000000000001E-2</v>
      </c>
      <c r="K16" s="45">
        <f t="shared" si="8"/>
        <v>5.5500000000000001E-2</v>
      </c>
      <c r="L16" s="45">
        <f t="shared" si="8"/>
        <v>5.5500000000000001E-2</v>
      </c>
      <c r="M16" s="45">
        <f t="shared" si="8"/>
        <v>5.5500000000000001E-2</v>
      </c>
      <c r="N16" s="45">
        <f t="shared" si="8"/>
        <v>5.5500000000000001E-2</v>
      </c>
      <c r="O16" s="45">
        <f t="shared" si="8"/>
        <v>5.5500000000000001E-2</v>
      </c>
      <c r="P16" s="45">
        <f t="shared" si="8"/>
        <v>5.5500000000000001E-2</v>
      </c>
      <c r="Q16" s="45">
        <f t="shared" si="8"/>
        <v>5.5500000000000001E-2</v>
      </c>
    </row>
    <row r="17" spans="1:18" s="1" customFormat="1" x14ac:dyDescent="0.25">
      <c r="A17" s="22" t="s">
        <v>42</v>
      </c>
      <c r="B17" s="29">
        <f>'Input-Output Data'!B11</f>
        <v>0.45</v>
      </c>
      <c r="C17" s="45">
        <f>B17</f>
        <v>0.45</v>
      </c>
      <c r="D17" s="45">
        <f t="shared" ref="D17:L17" si="9">C17</f>
        <v>0.45</v>
      </c>
      <c r="E17" s="45">
        <f t="shared" si="9"/>
        <v>0.45</v>
      </c>
      <c r="F17" s="45">
        <f t="shared" si="9"/>
        <v>0.45</v>
      </c>
      <c r="G17" s="45">
        <f t="shared" si="9"/>
        <v>0.45</v>
      </c>
      <c r="H17" s="45">
        <f t="shared" si="9"/>
        <v>0.45</v>
      </c>
      <c r="I17" s="45">
        <f t="shared" si="9"/>
        <v>0.45</v>
      </c>
      <c r="J17" s="45">
        <f t="shared" si="9"/>
        <v>0.45</v>
      </c>
      <c r="K17" s="45">
        <f t="shared" si="9"/>
        <v>0.45</v>
      </c>
      <c r="L17" s="45">
        <f t="shared" si="9"/>
        <v>0.45</v>
      </c>
      <c r="M17" s="45">
        <f t="shared" ref="M17:Q17" si="10">L17</f>
        <v>0.45</v>
      </c>
      <c r="N17" s="45">
        <f t="shared" si="10"/>
        <v>0.45</v>
      </c>
      <c r="O17" s="45">
        <f t="shared" si="10"/>
        <v>0.45</v>
      </c>
      <c r="P17" s="45">
        <f t="shared" si="10"/>
        <v>0.45</v>
      </c>
      <c r="Q17" s="45">
        <f t="shared" si="10"/>
        <v>0.45</v>
      </c>
    </row>
    <row r="18" spans="1:18" s="1" customFormat="1" x14ac:dyDescent="0.25">
      <c r="A18" s="22" t="s">
        <v>27</v>
      </c>
      <c r="B18" s="29">
        <f>B16*(1-B17)</f>
        <v>3.0525000000000004E-2</v>
      </c>
      <c r="C18" s="45">
        <f t="shared" ref="C18:L18" si="11">C16*(1-C17)</f>
        <v>3.0525000000000004E-2</v>
      </c>
      <c r="D18" s="29">
        <f t="shared" si="11"/>
        <v>3.0525000000000004E-2</v>
      </c>
      <c r="E18" s="45">
        <f t="shared" si="11"/>
        <v>3.0525000000000004E-2</v>
      </c>
      <c r="F18" s="29">
        <f t="shared" si="11"/>
        <v>3.0525000000000004E-2</v>
      </c>
      <c r="G18" s="45">
        <f t="shared" si="11"/>
        <v>3.0525000000000004E-2</v>
      </c>
      <c r="H18" s="29">
        <f t="shared" si="11"/>
        <v>3.0525000000000004E-2</v>
      </c>
      <c r="I18" s="45">
        <f t="shared" si="11"/>
        <v>3.0525000000000004E-2</v>
      </c>
      <c r="J18" s="29">
        <f t="shared" si="11"/>
        <v>3.0525000000000004E-2</v>
      </c>
      <c r="K18" s="45">
        <f t="shared" si="11"/>
        <v>3.0525000000000004E-2</v>
      </c>
      <c r="L18" s="32">
        <f t="shared" si="11"/>
        <v>3.0525000000000004E-2</v>
      </c>
      <c r="M18" s="29">
        <f t="shared" ref="M18:Q18" si="12">M16*(1-M17)</f>
        <v>3.0525000000000004E-2</v>
      </c>
      <c r="N18" s="45">
        <f t="shared" si="12"/>
        <v>3.0525000000000004E-2</v>
      </c>
      <c r="O18" s="29">
        <f t="shared" si="12"/>
        <v>3.0525000000000004E-2</v>
      </c>
      <c r="P18" s="45">
        <f t="shared" si="12"/>
        <v>3.0525000000000004E-2</v>
      </c>
      <c r="Q18" s="32">
        <f t="shared" si="12"/>
        <v>3.0525000000000004E-2</v>
      </c>
    </row>
    <row r="19" spans="1:18" s="1" customFormat="1" x14ac:dyDescent="0.25">
      <c r="A19" s="22" t="s">
        <v>40</v>
      </c>
      <c r="B19" s="20">
        <f>B16*B3</f>
        <v>51880.314972805492</v>
      </c>
      <c r="C19" s="42">
        <f t="shared" ref="C19:L19" si="13">C16*C3</f>
        <v>53436.724421989653</v>
      </c>
      <c r="D19" s="20">
        <f t="shared" si="13"/>
        <v>55039.826154649345</v>
      </c>
      <c r="E19" s="42">
        <f t="shared" si="13"/>
        <v>56691.020939288828</v>
      </c>
      <c r="F19" s="20">
        <f t="shared" si="13"/>
        <v>58391.751567467501</v>
      </c>
      <c r="G19" s="42">
        <f t="shared" si="13"/>
        <v>60143.50411449153</v>
      </c>
      <c r="H19" s="20">
        <f t="shared" si="13"/>
        <v>61947.809237926282</v>
      </c>
      <c r="I19" s="42">
        <f t="shared" si="13"/>
        <v>63806.243515064067</v>
      </c>
      <c r="J19" s="20">
        <f t="shared" si="13"/>
        <v>65720.43082051599</v>
      </c>
      <c r="K19" s="42">
        <f t="shared" si="13"/>
        <v>67692.043745131465</v>
      </c>
      <c r="L19" s="23">
        <f t="shared" si="13"/>
        <v>69722.805057485413</v>
      </c>
      <c r="M19" s="20">
        <f t="shared" ref="M19:Q19" si="14">M16*M3</f>
        <v>71814.489209209976</v>
      </c>
      <c r="N19" s="42">
        <f t="shared" si="14"/>
        <v>73968.923885486278</v>
      </c>
      <c r="O19" s="20">
        <f t="shared" si="14"/>
        <v>76187.991602050868</v>
      </c>
      <c r="P19" s="42">
        <f t="shared" si="14"/>
        <v>78473.631350112395</v>
      </c>
      <c r="Q19" s="23">
        <f t="shared" si="14"/>
        <v>80827.840290615772</v>
      </c>
    </row>
    <row r="20" spans="1:18" s="1" customFormat="1" ht="15.75" thickBot="1" x14ac:dyDescent="0.3">
      <c r="A20" s="24" t="s">
        <v>22</v>
      </c>
      <c r="B20" s="25">
        <f>'BuyHold1-15'!Q20</f>
        <v>28534.173235043021</v>
      </c>
      <c r="C20" s="43">
        <f t="shared" ref="C20:L20" si="15">C3*C18</f>
        <v>29390.198432094312</v>
      </c>
      <c r="D20" s="25">
        <f t="shared" si="15"/>
        <v>30271.904385057143</v>
      </c>
      <c r="E20" s="43">
        <f t="shared" si="15"/>
        <v>31180.061516608857</v>
      </c>
      <c r="F20" s="25">
        <f t="shared" si="15"/>
        <v>32115.463362107126</v>
      </c>
      <c r="G20" s="43">
        <f t="shared" si="15"/>
        <v>33078.927262970348</v>
      </c>
      <c r="H20" s="25">
        <f t="shared" si="15"/>
        <v>34071.295080859454</v>
      </c>
      <c r="I20" s="43">
        <f t="shared" si="15"/>
        <v>35093.43393328524</v>
      </c>
      <c r="J20" s="25">
        <f t="shared" si="15"/>
        <v>36146.236951283798</v>
      </c>
      <c r="K20" s="43">
        <f t="shared" si="15"/>
        <v>37230.624059822308</v>
      </c>
      <c r="L20" s="26">
        <f t="shared" si="15"/>
        <v>38347.542781616976</v>
      </c>
      <c r="M20" s="25">
        <f t="shared" ref="M20:Q20" si="16">M3*M18</f>
        <v>39497.969065065488</v>
      </c>
      <c r="N20" s="43">
        <f t="shared" si="16"/>
        <v>40682.908137017454</v>
      </c>
      <c r="O20" s="25">
        <f t="shared" si="16"/>
        <v>41903.395381127979</v>
      </c>
      <c r="P20" s="43">
        <f t="shared" si="16"/>
        <v>43160.497242561818</v>
      </c>
      <c r="Q20" s="26">
        <f t="shared" si="16"/>
        <v>44455.312159838679</v>
      </c>
      <c r="R20" s="2" t="s">
        <v>3</v>
      </c>
    </row>
    <row r="21" spans="1:18" s="1" customFormat="1" ht="7.5" customHeight="1" thickBot="1" x14ac:dyDescent="0.3">
      <c r="A21" s="109"/>
      <c r="B21" s="109"/>
      <c r="C21" s="109"/>
      <c r="D21" s="109"/>
      <c r="E21" s="109"/>
      <c r="F21" s="109"/>
      <c r="G21" s="109"/>
      <c r="H21" s="109"/>
      <c r="I21" s="109"/>
      <c r="J21" s="109"/>
      <c r="K21" s="109"/>
      <c r="L21" s="109"/>
      <c r="M21" s="109"/>
      <c r="N21" s="109"/>
      <c r="O21" s="109"/>
      <c r="P21" s="109"/>
      <c r="Q21" s="109"/>
    </row>
    <row r="22" spans="1:18" s="1" customFormat="1" x14ac:dyDescent="0.25">
      <c r="A22" s="30" t="s">
        <v>45</v>
      </c>
      <c r="B22" s="21" t="s">
        <v>47</v>
      </c>
      <c r="C22" s="21" t="s">
        <v>47</v>
      </c>
      <c r="D22" s="21" t="s">
        <v>47</v>
      </c>
      <c r="E22" s="21" t="s">
        <v>47</v>
      </c>
      <c r="F22" s="21" t="s">
        <v>47</v>
      </c>
      <c r="G22" s="21" t="s">
        <v>47</v>
      </c>
      <c r="H22" s="21" t="s">
        <v>47</v>
      </c>
      <c r="I22" s="21" t="s">
        <v>47</v>
      </c>
      <c r="J22" s="21" t="s">
        <v>47</v>
      </c>
      <c r="K22" s="21" t="s">
        <v>47</v>
      </c>
      <c r="L22" s="21" t="s">
        <v>47</v>
      </c>
      <c r="M22" s="21" t="s">
        <v>47</v>
      </c>
      <c r="N22" s="21" t="s">
        <v>47</v>
      </c>
      <c r="O22" s="21" t="s">
        <v>47</v>
      </c>
      <c r="P22" s="21" t="s">
        <v>47</v>
      </c>
      <c r="Q22" s="21" t="s">
        <v>47</v>
      </c>
    </row>
    <row r="23" spans="1:18" s="1" customFormat="1" x14ac:dyDescent="0.25">
      <c r="A23" s="57" t="s">
        <v>51</v>
      </c>
      <c r="B23" s="58">
        <f>'Input-Output Data'!B8</f>
        <v>5.9900000000000002E-2</v>
      </c>
      <c r="C23" s="58">
        <f>$B$23</f>
        <v>5.9900000000000002E-2</v>
      </c>
      <c r="D23" s="58">
        <f t="shared" ref="D23:Q23" si="17">$B$23</f>
        <v>5.9900000000000002E-2</v>
      </c>
      <c r="E23" s="58">
        <f t="shared" si="17"/>
        <v>5.9900000000000002E-2</v>
      </c>
      <c r="F23" s="58">
        <f t="shared" si="17"/>
        <v>5.9900000000000002E-2</v>
      </c>
      <c r="G23" s="58">
        <f t="shared" si="17"/>
        <v>5.9900000000000002E-2</v>
      </c>
      <c r="H23" s="58">
        <f t="shared" si="17"/>
        <v>5.9900000000000002E-2</v>
      </c>
      <c r="I23" s="58">
        <f t="shared" si="17"/>
        <v>5.9900000000000002E-2</v>
      </c>
      <c r="J23" s="58">
        <f t="shared" si="17"/>
        <v>5.9900000000000002E-2</v>
      </c>
      <c r="K23" s="58">
        <f t="shared" si="17"/>
        <v>5.9900000000000002E-2</v>
      </c>
      <c r="L23" s="58">
        <f t="shared" si="17"/>
        <v>5.9900000000000002E-2</v>
      </c>
      <c r="M23" s="58">
        <f t="shared" si="17"/>
        <v>5.9900000000000002E-2</v>
      </c>
      <c r="N23" s="58">
        <f t="shared" si="17"/>
        <v>5.9900000000000002E-2</v>
      </c>
      <c r="O23" s="58">
        <f t="shared" si="17"/>
        <v>5.9900000000000002E-2</v>
      </c>
      <c r="P23" s="58">
        <f t="shared" si="17"/>
        <v>5.9900000000000002E-2</v>
      </c>
      <c r="Q23" s="58">
        <f t="shared" si="17"/>
        <v>5.9900000000000002E-2</v>
      </c>
    </row>
    <row r="24" spans="1:18" s="1" customFormat="1" x14ac:dyDescent="0.25">
      <c r="A24" s="57" t="s">
        <v>52</v>
      </c>
      <c r="B24" s="59">
        <f>'Input-Output Data'!B14</f>
        <v>30</v>
      </c>
      <c r="C24" s="59">
        <f>$B$24</f>
        <v>30</v>
      </c>
      <c r="D24" s="59">
        <f t="shared" ref="D24:Q24" si="18">$B$24</f>
        <v>30</v>
      </c>
      <c r="E24" s="59">
        <f t="shared" si="18"/>
        <v>30</v>
      </c>
      <c r="F24" s="59">
        <f t="shared" si="18"/>
        <v>30</v>
      </c>
      <c r="G24" s="59">
        <f t="shared" si="18"/>
        <v>30</v>
      </c>
      <c r="H24" s="59">
        <f t="shared" si="18"/>
        <v>30</v>
      </c>
      <c r="I24" s="59">
        <f t="shared" si="18"/>
        <v>30</v>
      </c>
      <c r="J24" s="59">
        <f t="shared" si="18"/>
        <v>30</v>
      </c>
      <c r="K24" s="59">
        <f t="shared" si="18"/>
        <v>30</v>
      </c>
      <c r="L24" s="59">
        <f t="shared" si="18"/>
        <v>30</v>
      </c>
      <c r="M24" s="59">
        <f t="shared" si="18"/>
        <v>30</v>
      </c>
      <c r="N24" s="59">
        <f t="shared" si="18"/>
        <v>30</v>
      </c>
      <c r="O24" s="59">
        <f t="shared" si="18"/>
        <v>30</v>
      </c>
      <c r="P24" s="59">
        <f t="shared" si="18"/>
        <v>30</v>
      </c>
      <c r="Q24" s="59">
        <f t="shared" si="18"/>
        <v>30</v>
      </c>
    </row>
    <row r="25" spans="1:18" s="1" customFormat="1" ht="15.75" thickBot="1" x14ac:dyDescent="0.3">
      <c r="A25" s="22" t="s">
        <v>50</v>
      </c>
      <c r="B25" s="61">
        <f>IF(B22="Int Only",'Input-Output Data'!$B$17,'Input-Output Data'!$B$18)</f>
        <v>3089.7132452937162</v>
      </c>
      <c r="C25" s="61">
        <f>IF(C22="Int Only",'Input-Output Data'!$B$17,'Input-Output Data'!$B$18)</f>
        <v>3089.7132452937162</v>
      </c>
      <c r="D25" s="61">
        <f>IF(D22="Int Only",'Input-Output Data'!$B$17,'Input-Output Data'!$B$18)</f>
        <v>3089.7132452937162</v>
      </c>
      <c r="E25" s="61">
        <f>IF(E22="Int Only",'Input-Output Data'!$B$17,'Input-Output Data'!$B$18)</f>
        <v>3089.7132452937162</v>
      </c>
      <c r="F25" s="61">
        <f>IF(F22="Int Only",'Input-Output Data'!$B$17,'Input-Output Data'!$B$18)</f>
        <v>3089.7132452937162</v>
      </c>
      <c r="G25" s="61">
        <f>IF(G22="Int Only",'Input-Output Data'!$B$17,'Input-Output Data'!$B$18)</f>
        <v>3089.7132452937162</v>
      </c>
      <c r="H25" s="61">
        <f>IF(H22="Int Only",'Input-Output Data'!$B$17,'Input-Output Data'!$B$18)</f>
        <v>3089.7132452937162</v>
      </c>
      <c r="I25" s="61">
        <f>IF(I22="Int Only",'Input-Output Data'!$B$17,'Input-Output Data'!$B$18)</f>
        <v>3089.7132452937162</v>
      </c>
      <c r="J25" s="61">
        <f>IF(J22="Int Only",'Input-Output Data'!$B$17,'Input-Output Data'!$B$18)</f>
        <v>3089.7132452937162</v>
      </c>
      <c r="K25" s="61">
        <f>IF(K22="Int Only",'Input-Output Data'!$B$17,'Input-Output Data'!$B$18)</f>
        <v>3089.7132452937162</v>
      </c>
      <c r="L25" s="61">
        <f>IF(L22="Int Only",'Input-Output Data'!$B$17,'Input-Output Data'!$B$18)</f>
        <v>3089.7132452937162</v>
      </c>
      <c r="M25" s="61">
        <f>IF(M22="Int Only",'Input-Output Data'!$B$17,'Input-Output Data'!$B$18)</f>
        <v>3089.7132452937162</v>
      </c>
      <c r="N25" s="61">
        <f>IF(N22="Int Only",'Input-Output Data'!$B$17,'Input-Output Data'!$B$18)</f>
        <v>3089.7132452937162</v>
      </c>
      <c r="O25" s="61">
        <f>IF(O22="Int Only",'Input-Output Data'!$B$17,'Input-Output Data'!$B$18)</f>
        <v>3089.7132452937162</v>
      </c>
      <c r="P25" s="61">
        <f>IF(P22="Int Only",'Input-Output Data'!$B$17,'Input-Output Data'!$B$18)</f>
        <v>3089.7132452937162</v>
      </c>
      <c r="Q25" s="61">
        <f>IF(Q22="Int Only",'Input-Output Data'!$B$17,'Input-Output Data'!$B$18)</f>
        <v>3089.7132452937162</v>
      </c>
    </row>
    <row r="26" spans="1:18" s="1" customFormat="1" ht="15.75" thickBot="1" x14ac:dyDescent="0.3">
      <c r="A26" s="24" t="s">
        <v>49</v>
      </c>
      <c r="B26" s="60">
        <f>12*B25</f>
        <v>37076.558943524593</v>
      </c>
      <c r="C26" s="60">
        <f t="shared" ref="C26:L26" si="19">12*C25</f>
        <v>37076.558943524593</v>
      </c>
      <c r="D26" s="60">
        <f t="shared" si="19"/>
        <v>37076.558943524593</v>
      </c>
      <c r="E26" s="60">
        <f t="shared" si="19"/>
        <v>37076.558943524593</v>
      </c>
      <c r="F26" s="60">
        <f t="shared" si="19"/>
        <v>37076.558943524593</v>
      </c>
      <c r="G26" s="60">
        <f t="shared" si="19"/>
        <v>37076.558943524593</v>
      </c>
      <c r="H26" s="60">
        <f t="shared" si="19"/>
        <v>37076.558943524593</v>
      </c>
      <c r="I26" s="60">
        <f t="shared" si="19"/>
        <v>37076.558943524593</v>
      </c>
      <c r="J26" s="60">
        <f t="shared" si="19"/>
        <v>37076.558943524593</v>
      </c>
      <c r="K26" s="60">
        <f t="shared" si="19"/>
        <v>37076.558943524593</v>
      </c>
      <c r="L26" s="60">
        <f t="shared" si="19"/>
        <v>37076.558943524593</v>
      </c>
      <c r="M26" s="60">
        <f t="shared" ref="M26:Q26" si="20">12*M25</f>
        <v>37076.558943524593</v>
      </c>
      <c r="N26" s="60">
        <f t="shared" si="20"/>
        <v>37076.558943524593</v>
      </c>
      <c r="O26" s="60">
        <f t="shared" si="20"/>
        <v>37076.558943524593</v>
      </c>
      <c r="P26" s="60">
        <f t="shared" si="20"/>
        <v>37076.558943524593</v>
      </c>
      <c r="Q26" s="69">
        <f t="shared" si="20"/>
        <v>37076.558943524593</v>
      </c>
      <c r="R26" s="51">
        <f>SUM(B26:Q26)</f>
        <v>593224.9430963936</v>
      </c>
    </row>
    <row r="27" spans="1:18" s="1" customFormat="1" ht="8.25" customHeight="1" thickBot="1" x14ac:dyDescent="0.3">
      <c r="A27" s="109"/>
      <c r="B27" s="109"/>
      <c r="C27" s="109"/>
      <c r="D27" s="109"/>
      <c r="E27" s="109"/>
      <c r="F27" s="109"/>
      <c r="G27" s="109"/>
      <c r="H27" s="109"/>
      <c r="I27" s="109"/>
      <c r="J27" s="109"/>
      <c r="K27" s="109"/>
      <c r="L27" s="109"/>
      <c r="M27" s="109"/>
      <c r="N27" s="109"/>
      <c r="O27" s="109"/>
      <c r="P27" s="109"/>
      <c r="Q27" s="109"/>
    </row>
    <row r="28" spans="1:18" s="1" customFormat="1" ht="15.75" thickBot="1" x14ac:dyDescent="0.3">
      <c r="A28" s="33" t="s">
        <v>1</v>
      </c>
      <c r="B28" s="49" t="s">
        <v>3</v>
      </c>
      <c r="C28" s="50">
        <f t="shared" ref="C28:Q28" si="21">C20-C26</f>
        <v>-7686.3605114302809</v>
      </c>
      <c r="D28" s="51">
        <f t="shared" si="21"/>
        <v>-6804.6545584674495</v>
      </c>
      <c r="E28" s="50">
        <f t="shared" si="21"/>
        <v>-5896.4974269157356</v>
      </c>
      <c r="F28" s="51">
        <f t="shared" si="21"/>
        <v>-4961.0955814174667</v>
      </c>
      <c r="G28" s="48">
        <f t="shared" si="21"/>
        <v>-3997.6316805542447</v>
      </c>
      <c r="H28" s="51">
        <f t="shared" si="21"/>
        <v>-3005.2638626651387</v>
      </c>
      <c r="I28" s="48">
        <f t="shared" si="21"/>
        <v>-1983.1250102393533</v>
      </c>
      <c r="J28" s="51">
        <f t="shared" si="21"/>
        <v>-930.32199224079523</v>
      </c>
      <c r="K28" s="50">
        <f t="shared" si="21"/>
        <v>154.06511629771558</v>
      </c>
      <c r="L28" s="52">
        <f t="shared" si="21"/>
        <v>1270.9838380923829</v>
      </c>
      <c r="M28" s="51">
        <f t="shared" si="21"/>
        <v>2421.4101215408955</v>
      </c>
      <c r="N28" s="48">
        <f t="shared" si="21"/>
        <v>3606.3491934928606</v>
      </c>
      <c r="O28" s="51">
        <f t="shared" si="21"/>
        <v>4826.836437603386</v>
      </c>
      <c r="P28" s="50">
        <f t="shared" si="21"/>
        <v>6083.9382990372251</v>
      </c>
      <c r="Q28" s="52">
        <f t="shared" si="21"/>
        <v>7378.7532163140859</v>
      </c>
      <c r="R28" s="51">
        <f>SUM(C28:Q28)</f>
        <v>-9522.6144015519167</v>
      </c>
    </row>
  </sheetData>
  <sheetProtection formatColumns="0" selectLockedCells="1"/>
  <mergeCells count="4">
    <mergeCell ref="A1:Q1"/>
    <mergeCell ref="A13:Q13"/>
    <mergeCell ref="A21:Q21"/>
    <mergeCell ref="A27:Q27"/>
  </mergeCells>
  <pageMargins left="0.7" right="0.7" top="0.75" bottom="0.75" header="0.3" footer="0.3"/>
  <pageSetup paperSize="9" scale="78" orientation="landscape" horizontalDpi="1200" verticalDpi="1200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F2339978-9AA0-4390-AAFD-DB7518ED5AC7}">
          <x14:formula1>
            <xm:f>Sheet1!$A$2:$A$3</xm:f>
          </x14:formula1>
          <xm:sqref>B22:Q22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E02310-F4AE-4E64-98D4-6A4B64B3F051}">
  <dimension ref="A1:Q25"/>
  <sheetViews>
    <sheetView zoomScale="115" zoomScaleNormal="115" workbookViewId="0">
      <selection activeCell="O4" sqref="O4:O6"/>
    </sheetView>
  </sheetViews>
  <sheetFormatPr defaultRowHeight="15" x14ac:dyDescent="0.25"/>
  <cols>
    <col min="1" max="1" width="26.5703125" bestFit="1" customWidth="1"/>
    <col min="2" max="7" width="9.42578125" style="2" bestFit="1" customWidth="1"/>
    <col min="8" max="10" width="9.42578125" style="2" customWidth="1"/>
    <col min="11" max="12" width="11.140625" style="2" bestFit="1" customWidth="1"/>
    <col min="13" max="13" width="2.5703125" style="2" customWidth="1"/>
    <col min="14" max="14" width="16.42578125" style="2" bestFit="1" customWidth="1"/>
    <col min="15" max="15" width="13.85546875" style="1" bestFit="1" customWidth="1"/>
    <col min="16" max="17" width="9.140625" style="1"/>
  </cols>
  <sheetData>
    <row r="1" spans="1:15" ht="41.45" customHeight="1" thickBot="1" x14ac:dyDescent="0.3">
      <c r="A1" s="108" t="s">
        <v>19</v>
      </c>
      <c r="B1" s="108"/>
      <c r="C1" s="108"/>
      <c r="D1" s="108"/>
      <c r="E1" s="108"/>
      <c r="F1" s="108"/>
      <c r="G1" s="108"/>
      <c r="H1" s="6"/>
      <c r="I1" s="6"/>
      <c r="J1" s="6"/>
      <c r="K1" s="6"/>
      <c r="L1" s="6"/>
      <c r="M1" s="6"/>
      <c r="N1" s="6"/>
    </row>
    <row r="2" spans="1:15" ht="15.75" thickBot="1" x14ac:dyDescent="0.3">
      <c r="A2" s="5"/>
      <c r="B2" s="8" t="s">
        <v>18</v>
      </c>
      <c r="C2" s="2" t="s">
        <v>17</v>
      </c>
      <c r="D2" s="2" t="s">
        <v>16</v>
      </c>
      <c r="E2" s="2" t="s">
        <v>15</v>
      </c>
      <c r="F2" s="2" t="s">
        <v>14</v>
      </c>
      <c r="G2" s="2" t="s">
        <v>13</v>
      </c>
      <c r="H2" s="2" t="s">
        <v>21</v>
      </c>
      <c r="I2" s="2" t="s">
        <v>23</v>
      </c>
      <c r="J2" s="2" t="s">
        <v>24</v>
      </c>
      <c r="K2" s="2" t="s">
        <v>25</v>
      </c>
      <c r="L2" s="2" t="s">
        <v>26</v>
      </c>
      <c r="M2" s="4"/>
      <c r="O2" s="16" t="s">
        <v>55</v>
      </c>
    </row>
    <row r="3" spans="1:15" x14ac:dyDescent="0.25">
      <c r="A3" t="s">
        <v>12</v>
      </c>
      <c r="B3" s="8">
        <v>600000</v>
      </c>
      <c r="C3" s="2">
        <f t="shared" ref="C3:L3" si="0">B3*(1+C14)</f>
        <v>636000</v>
      </c>
      <c r="D3" s="2">
        <f t="shared" si="0"/>
        <v>674160</v>
      </c>
      <c r="E3" s="2">
        <f t="shared" si="0"/>
        <v>714609.60000000009</v>
      </c>
      <c r="F3" s="2">
        <f t="shared" si="0"/>
        <v>757486.17600000009</v>
      </c>
      <c r="G3" s="2">
        <f t="shared" si="0"/>
        <v>802935.34656000009</v>
      </c>
      <c r="H3" s="2">
        <f t="shared" si="0"/>
        <v>851111.46735360019</v>
      </c>
      <c r="I3" s="2">
        <f t="shared" si="0"/>
        <v>902178.15539481631</v>
      </c>
      <c r="J3" s="2">
        <f t="shared" si="0"/>
        <v>956308.84471850528</v>
      </c>
      <c r="K3" s="2">
        <f t="shared" si="0"/>
        <v>1013687.3754016156</v>
      </c>
      <c r="L3" s="2">
        <f t="shared" si="0"/>
        <v>1074508.6179257126</v>
      </c>
      <c r="M3" s="4"/>
      <c r="O3" s="11">
        <f>B3*(1+B14)^30</f>
        <v>3446094.7037479556</v>
      </c>
    </row>
    <row r="4" spans="1:15" x14ac:dyDescent="0.25">
      <c r="A4" t="s">
        <v>11</v>
      </c>
      <c r="B4" s="2">
        <v>480000</v>
      </c>
      <c r="C4" s="2">
        <v>480000</v>
      </c>
      <c r="D4" s="2">
        <v>480000</v>
      </c>
      <c r="E4" s="2">
        <v>480000</v>
      </c>
      <c r="F4" s="2">
        <v>480000</v>
      </c>
      <c r="G4" s="2">
        <v>480000</v>
      </c>
      <c r="H4" s="2">
        <v>480000</v>
      </c>
      <c r="I4" s="2">
        <v>480000</v>
      </c>
      <c r="J4" s="2">
        <v>480000</v>
      </c>
      <c r="K4" s="2">
        <v>480000</v>
      </c>
      <c r="L4" s="2">
        <v>480000</v>
      </c>
      <c r="M4" s="4"/>
      <c r="O4" s="12">
        <f>B4</f>
        <v>480000</v>
      </c>
    </row>
    <row r="5" spans="1:15" x14ac:dyDescent="0.25">
      <c r="A5" t="s">
        <v>10</v>
      </c>
      <c r="B5" s="2">
        <v>120000</v>
      </c>
      <c r="C5" s="2">
        <v>120000</v>
      </c>
      <c r="D5" s="2">
        <v>120000</v>
      </c>
      <c r="E5" s="2">
        <v>120000</v>
      </c>
      <c r="F5" s="2">
        <v>120000</v>
      </c>
      <c r="G5" s="2">
        <v>120000</v>
      </c>
      <c r="H5" s="2">
        <v>120000</v>
      </c>
      <c r="I5" s="2">
        <v>120000</v>
      </c>
      <c r="J5" s="2">
        <v>120000</v>
      </c>
      <c r="K5" s="2">
        <v>120000</v>
      </c>
      <c r="L5" s="2">
        <v>120000</v>
      </c>
      <c r="M5" s="4"/>
      <c r="O5" s="12">
        <f>B5</f>
        <v>120000</v>
      </c>
    </row>
    <row r="6" spans="1:15" x14ac:dyDescent="0.25">
      <c r="A6" t="s">
        <v>9</v>
      </c>
      <c r="B6" s="2">
        <v>36000</v>
      </c>
      <c r="C6" s="2">
        <v>36000</v>
      </c>
      <c r="D6" s="2">
        <v>36000</v>
      </c>
      <c r="E6" s="2">
        <v>36000</v>
      </c>
      <c r="F6" s="2">
        <v>36000</v>
      </c>
      <c r="G6" s="2">
        <v>36000</v>
      </c>
      <c r="H6" s="2">
        <v>36000</v>
      </c>
      <c r="I6" s="2">
        <v>36000</v>
      </c>
      <c r="J6" s="2">
        <v>36000</v>
      </c>
      <c r="K6" s="2">
        <v>36000</v>
      </c>
      <c r="L6" s="2">
        <v>36000</v>
      </c>
      <c r="M6" s="4"/>
      <c r="O6" s="12">
        <f>B6</f>
        <v>36000</v>
      </c>
    </row>
    <row r="7" spans="1:15" x14ac:dyDescent="0.25">
      <c r="A7" t="s">
        <v>8</v>
      </c>
      <c r="B7" s="2">
        <v>0</v>
      </c>
      <c r="C7" s="2">
        <v>0</v>
      </c>
      <c r="D7" s="2">
        <v>0</v>
      </c>
      <c r="E7" s="2">
        <v>0</v>
      </c>
      <c r="F7" s="2">
        <v>0</v>
      </c>
      <c r="G7" s="2">
        <v>0</v>
      </c>
      <c r="H7" s="2">
        <v>0</v>
      </c>
      <c r="I7" s="2">
        <v>0</v>
      </c>
      <c r="J7" s="2">
        <v>0</v>
      </c>
      <c r="K7" s="2">
        <v>0</v>
      </c>
      <c r="L7" s="2">
        <v>0</v>
      </c>
      <c r="M7" s="4"/>
      <c r="N7" s="2" t="s">
        <v>35</v>
      </c>
      <c r="O7" s="11">
        <f>O3-(O4+O5+O6)</f>
        <v>2810094.7037479556</v>
      </c>
    </row>
    <row r="8" spans="1:15" ht="15" customHeight="1" x14ac:dyDescent="0.25">
      <c r="A8" t="s">
        <v>7</v>
      </c>
      <c r="B8" s="2">
        <v>0</v>
      </c>
      <c r="C8" s="2">
        <v>0</v>
      </c>
      <c r="D8" s="2">
        <v>0</v>
      </c>
      <c r="E8" s="2">
        <v>0</v>
      </c>
      <c r="F8" s="2">
        <v>0</v>
      </c>
      <c r="G8" s="2">
        <v>0</v>
      </c>
      <c r="H8" s="2">
        <v>0</v>
      </c>
      <c r="I8" s="2">
        <v>0</v>
      </c>
      <c r="J8" s="2">
        <v>0</v>
      </c>
      <c r="K8" s="2">
        <v>0</v>
      </c>
      <c r="L8" s="2">
        <v>0</v>
      </c>
      <c r="M8" s="4"/>
      <c r="N8" s="2" t="s">
        <v>36</v>
      </c>
      <c r="O8" s="11">
        <f>O7-O18</f>
        <v>2413217.7037479556</v>
      </c>
    </row>
    <row r="9" spans="1:15" x14ac:dyDescent="0.25">
      <c r="A9" t="s">
        <v>6</v>
      </c>
      <c r="B9" s="2">
        <v>0</v>
      </c>
      <c r="C9" s="2">
        <v>0</v>
      </c>
      <c r="D9" s="2">
        <v>0</v>
      </c>
      <c r="E9" s="2">
        <v>0</v>
      </c>
      <c r="F9" s="2">
        <v>0</v>
      </c>
      <c r="G9" s="2">
        <v>0</v>
      </c>
      <c r="H9" s="2">
        <v>0</v>
      </c>
      <c r="I9" s="2">
        <v>0</v>
      </c>
      <c r="J9" s="2">
        <v>0</v>
      </c>
      <c r="K9" s="2">
        <v>0</v>
      </c>
      <c r="L9" s="2">
        <v>0</v>
      </c>
      <c r="M9" s="4"/>
      <c r="N9" s="2" t="s">
        <v>3</v>
      </c>
      <c r="O9" s="14"/>
    </row>
    <row r="10" spans="1:15" x14ac:dyDescent="0.25">
      <c r="A10" t="s">
        <v>0</v>
      </c>
      <c r="B10" s="2">
        <v>0</v>
      </c>
      <c r="C10" s="2">
        <v>0</v>
      </c>
      <c r="D10" s="2">
        <v>0</v>
      </c>
      <c r="E10" s="2">
        <v>0</v>
      </c>
      <c r="F10" s="2">
        <v>0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  <c r="L10" s="2">
        <v>0</v>
      </c>
      <c r="M10" s="4"/>
      <c r="O10" s="14"/>
    </row>
    <row r="11" spans="1:15" x14ac:dyDescent="0.25">
      <c r="A11" t="s">
        <v>5</v>
      </c>
      <c r="B11" s="2">
        <v>0</v>
      </c>
      <c r="C11" s="2">
        <v>0</v>
      </c>
      <c r="D11" s="2">
        <v>0</v>
      </c>
      <c r="E11" s="2">
        <v>0</v>
      </c>
      <c r="F11" s="2">
        <v>0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  <c r="L11" s="2">
        <v>0</v>
      </c>
      <c r="M11" s="4"/>
      <c r="O11" s="14"/>
    </row>
    <row r="12" spans="1:15" x14ac:dyDescent="0.25">
      <c r="A12" s="5" t="s">
        <v>4</v>
      </c>
      <c r="B12" s="4">
        <f>(B3-B4)+B6+B7+B8</f>
        <v>156000</v>
      </c>
      <c r="C12" s="4">
        <f t="shared" ref="C12:L12" si="1">((C3-C4)+C6+C7)-C10</f>
        <v>192000</v>
      </c>
      <c r="D12" s="4">
        <f t="shared" si="1"/>
        <v>230160</v>
      </c>
      <c r="E12" s="4">
        <f t="shared" si="1"/>
        <v>270609.60000000009</v>
      </c>
      <c r="F12" s="4">
        <f t="shared" si="1"/>
        <v>313486.17600000009</v>
      </c>
      <c r="G12" s="4">
        <f t="shared" si="1"/>
        <v>358935.34656000009</v>
      </c>
      <c r="H12" s="4">
        <f t="shared" si="1"/>
        <v>407111.46735360019</v>
      </c>
      <c r="I12" s="4">
        <f t="shared" si="1"/>
        <v>458178.15539481631</v>
      </c>
      <c r="J12" s="4">
        <f t="shared" si="1"/>
        <v>512308.84471850528</v>
      </c>
      <c r="K12" s="4">
        <f t="shared" si="1"/>
        <v>569687.37540161563</v>
      </c>
      <c r="L12" s="4">
        <f t="shared" si="1"/>
        <v>630508.61792571261</v>
      </c>
      <c r="M12" s="4"/>
      <c r="N12" s="10"/>
      <c r="O12" s="14"/>
    </row>
    <row r="13" spans="1:15" x14ac:dyDescent="0.25">
      <c r="A13" s="110"/>
      <c r="B13" s="111"/>
      <c r="C13" s="111"/>
      <c r="D13" s="111"/>
      <c r="E13" s="111"/>
      <c r="F13" s="111"/>
      <c r="G13" s="111"/>
      <c r="H13" s="111"/>
      <c r="I13" s="111"/>
      <c r="J13" s="111"/>
      <c r="K13" s="111"/>
      <c r="L13" s="112"/>
      <c r="M13" s="17"/>
      <c r="N13" s="9"/>
      <c r="O13" s="14"/>
    </row>
    <row r="14" spans="1:15" x14ac:dyDescent="0.25">
      <c r="A14" t="s">
        <v>2</v>
      </c>
      <c r="B14" s="3">
        <v>0.06</v>
      </c>
      <c r="C14" s="3">
        <v>0.06</v>
      </c>
      <c r="D14" s="3">
        <v>0.06</v>
      </c>
      <c r="E14" s="3">
        <v>0.06</v>
      </c>
      <c r="F14" s="3">
        <v>0.06</v>
      </c>
      <c r="G14" s="3">
        <v>0.06</v>
      </c>
      <c r="H14" s="3">
        <v>0.06</v>
      </c>
      <c r="I14" s="3">
        <v>0.06</v>
      </c>
      <c r="J14" s="3">
        <v>0.06</v>
      </c>
      <c r="K14" s="3">
        <v>0.06</v>
      </c>
      <c r="L14" s="3">
        <v>0.06</v>
      </c>
      <c r="M14" s="18"/>
      <c r="N14" s="3"/>
      <c r="O14" s="13"/>
    </row>
    <row r="15" spans="1:15" x14ac:dyDescent="0.25">
      <c r="A15" t="s">
        <v>28</v>
      </c>
      <c r="B15" s="7">
        <v>4.2000000000000003E-2</v>
      </c>
      <c r="C15" s="7">
        <v>4.2000000000000003E-2</v>
      </c>
      <c r="D15" s="7">
        <v>4.2000000000000003E-2</v>
      </c>
      <c r="E15" s="7">
        <v>4.2000000000000003E-2</v>
      </c>
      <c r="F15" s="7">
        <v>4.2000000000000003E-2</v>
      </c>
      <c r="G15" s="7">
        <v>4.2000000000000003E-2</v>
      </c>
      <c r="H15" s="7">
        <v>4.2000000000000003E-2</v>
      </c>
      <c r="I15" s="7">
        <v>4.2000000000000003E-2</v>
      </c>
      <c r="J15" s="7">
        <v>4.2000000000000003E-2</v>
      </c>
      <c r="K15" s="7">
        <v>4.2000000000000003E-2</v>
      </c>
      <c r="L15" s="7">
        <v>4.2000000000000003E-2</v>
      </c>
      <c r="M15" s="19"/>
      <c r="N15" s="7"/>
      <c r="O15" s="13"/>
    </row>
    <row r="16" spans="1:15" x14ac:dyDescent="0.25">
      <c r="A16" t="s">
        <v>27</v>
      </c>
      <c r="B16" s="7">
        <v>3.0464999999999999E-2</v>
      </c>
      <c r="C16" s="7">
        <v>3.0464999999999999E-2</v>
      </c>
      <c r="D16" s="7">
        <v>3.0464999999999999E-2</v>
      </c>
      <c r="E16" s="7">
        <v>3.0464999999999999E-2</v>
      </c>
      <c r="F16" s="7">
        <v>3.0464999999999999E-2</v>
      </c>
      <c r="G16" s="7">
        <v>3.0464999999999999E-2</v>
      </c>
      <c r="H16" s="7">
        <v>3.0464999999999999E-2</v>
      </c>
      <c r="I16" s="7">
        <v>3.0464999999999999E-2</v>
      </c>
      <c r="J16" s="7">
        <v>3.0464999999999999E-2</v>
      </c>
      <c r="K16" s="7">
        <v>3.0464999999999999E-2</v>
      </c>
      <c r="L16" s="7">
        <v>3.0464999999999999E-2</v>
      </c>
      <c r="M16" s="19"/>
      <c r="N16" s="7"/>
      <c r="O16" s="13"/>
    </row>
    <row r="17" spans="1:15" x14ac:dyDescent="0.25">
      <c r="A17" t="s">
        <v>22</v>
      </c>
      <c r="B17" s="2">
        <v>18279</v>
      </c>
      <c r="C17" s="2">
        <f t="shared" ref="C17:L17" si="2">C3*C16</f>
        <v>19375.739999999998</v>
      </c>
      <c r="D17" s="2">
        <f t="shared" si="2"/>
        <v>20538.2844</v>
      </c>
      <c r="E17" s="2">
        <f t="shared" si="2"/>
        <v>21770.581464000003</v>
      </c>
      <c r="F17" s="2">
        <f t="shared" si="2"/>
        <v>23076.816351840003</v>
      </c>
      <c r="G17" s="2">
        <f t="shared" si="2"/>
        <v>24461.425332950403</v>
      </c>
      <c r="H17" s="2">
        <f t="shared" si="2"/>
        <v>25929.110852927428</v>
      </c>
      <c r="I17" s="2">
        <f t="shared" si="2"/>
        <v>27484.857504103078</v>
      </c>
      <c r="J17" s="2">
        <f t="shared" si="2"/>
        <v>29133.948954349264</v>
      </c>
      <c r="K17" s="2">
        <f t="shared" si="2"/>
        <v>30881.98589161022</v>
      </c>
      <c r="L17" s="2">
        <f t="shared" si="2"/>
        <v>32734.905045106832</v>
      </c>
      <c r="M17" s="4"/>
      <c r="O17" s="12"/>
    </row>
    <row r="18" spans="1:15" x14ac:dyDescent="0.25">
      <c r="A18" t="s">
        <v>29</v>
      </c>
      <c r="B18" s="2">
        <f>B4*B15</f>
        <v>20160</v>
      </c>
      <c r="C18" s="2">
        <f t="shared" ref="C18:G18" si="3">C4*C15</f>
        <v>20160</v>
      </c>
      <c r="D18" s="2">
        <f t="shared" si="3"/>
        <v>20160</v>
      </c>
      <c r="E18" s="2">
        <f t="shared" si="3"/>
        <v>20160</v>
      </c>
      <c r="F18" s="2">
        <f t="shared" si="3"/>
        <v>20160</v>
      </c>
      <c r="G18" s="2">
        <f t="shared" si="3"/>
        <v>20160</v>
      </c>
      <c r="M18" s="4"/>
      <c r="N18" s="8" t="s">
        <v>30</v>
      </c>
      <c r="O18" s="12">
        <f>296077+SUM(C18:G18)</f>
        <v>396877</v>
      </c>
    </row>
    <row r="19" spans="1:15" x14ac:dyDescent="0.25">
      <c r="A19" t="s">
        <v>20</v>
      </c>
      <c r="B19" s="2" t="s">
        <v>3</v>
      </c>
      <c r="C19" s="2">
        <v>0</v>
      </c>
      <c r="D19" s="2">
        <v>0</v>
      </c>
      <c r="E19" s="2">
        <v>0</v>
      </c>
      <c r="F19" s="2">
        <v>0</v>
      </c>
      <c r="G19" s="2">
        <v>0</v>
      </c>
      <c r="M19" s="4"/>
      <c r="N19" s="8" t="s">
        <v>31</v>
      </c>
      <c r="O19" s="12">
        <v>480000</v>
      </c>
    </row>
    <row r="20" spans="1:15" ht="15.75" thickBot="1" x14ac:dyDescent="0.3">
      <c r="A20" t="s">
        <v>33</v>
      </c>
      <c r="B20" s="2" t="s">
        <v>3</v>
      </c>
      <c r="C20" s="2">
        <f t="shared" ref="C20:G20" si="4">C18+C19</f>
        <v>20160</v>
      </c>
      <c r="D20" s="2">
        <f t="shared" si="4"/>
        <v>20160</v>
      </c>
      <c r="E20" s="2">
        <f t="shared" si="4"/>
        <v>20160</v>
      </c>
      <c r="F20" s="2">
        <f t="shared" si="4"/>
        <v>20160</v>
      </c>
      <c r="G20" s="2">
        <f t="shared" si="4"/>
        <v>20160</v>
      </c>
      <c r="H20" s="2">
        <v>31044</v>
      </c>
      <c r="I20" s="2">
        <v>31044</v>
      </c>
      <c r="J20" s="2">
        <v>31044</v>
      </c>
      <c r="K20" s="2">
        <v>31044</v>
      </c>
      <c r="L20" s="2">
        <v>31044</v>
      </c>
      <c r="M20" s="4"/>
      <c r="N20" s="8" t="s">
        <v>32</v>
      </c>
      <c r="O20" s="15">
        <f>SUM(O18:O19)</f>
        <v>876877</v>
      </c>
    </row>
    <row r="21" spans="1:15" x14ac:dyDescent="0.25">
      <c r="A21" t="s">
        <v>1</v>
      </c>
      <c r="B21" s="2" t="s">
        <v>3</v>
      </c>
      <c r="C21" s="2">
        <f t="shared" ref="C21:L21" si="5">C17-C20</f>
        <v>-784.26000000000204</v>
      </c>
      <c r="D21" s="2">
        <f t="shared" si="5"/>
        <v>378.28440000000046</v>
      </c>
      <c r="E21" s="2">
        <f t="shared" si="5"/>
        <v>1610.5814640000026</v>
      </c>
      <c r="F21" s="2">
        <f t="shared" si="5"/>
        <v>2916.8163518400033</v>
      </c>
      <c r="G21" s="2">
        <f t="shared" si="5"/>
        <v>4301.4253329504027</v>
      </c>
      <c r="H21" s="2">
        <f t="shared" si="5"/>
        <v>-5114.8891470725721</v>
      </c>
      <c r="I21" s="2">
        <f t="shared" si="5"/>
        <v>-3559.1424958969219</v>
      </c>
      <c r="J21" s="2">
        <f t="shared" si="5"/>
        <v>-1910.0510456507363</v>
      </c>
      <c r="K21" s="2">
        <f t="shared" si="5"/>
        <v>-162.01410838977972</v>
      </c>
      <c r="L21" s="2">
        <f t="shared" si="5"/>
        <v>1690.9050451068324</v>
      </c>
      <c r="M21" s="4"/>
    </row>
    <row r="23" spans="1:15" x14ac:dyDescent="0.25">
      <c r="A23" t="s">
        <v>37</v>
      </c>
      <c r="B23" s="2">
        <f>SUM(C21:G21)</f>
        <v>8422.847548790407</v>
      </c>
    </row>
    <row r="24" spans="1:15" x14ac:dyDescent="0.25">
      <c r="A24" t="s">
        <v>34</v>
      </c>
      <c r="B24" s="2">
        <f>SUM(C21:L21)</f>
        <v>-632.34420311277063</v>
      </c>
      <c r="O24" s="2"/>
    </row>
    <row r="25" spans="1:15" x14ac:dyDescent="0.25">
      <c r="B25" s="3"/>
    </row>
  </sheetData>
  <sheetProtection formatColumns="0" selectLockedCells="1"/>
  <mergeCells count="2">
    <mergeCell ref="A13:L13"/>
    <mergeCell ref="A1:G1"/>
  </mergeCells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Input-Output Data</vt:lpstr>
      <vt:lpstr>Sheet1</vt:lpstr>
      <vt:lpstr>BuyHold1-15</vt:lpstr>
      <vt:lpstr>BuyHold16-30</vt:lpstr>
      <vt:lpstr>BuyHold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cp:lastPrinted>2023-04-06T06:43:55Z</cp:lastPrinted>
  <dcterms:created xsi:type="dcterms:W3CDTF">2023-02-22T07:05:29Z</dcterms:created>
  <dcterms:modified xsi:type="dcterms:W3CDTF">2023-05-04T04:40:18Z</dcterms:modified>
</cp:coreProperties>
</file>