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 Drive\Coaching Folders\Student Material\Excel Docs\"/>
    </mc:Choice>
  </mc:AlternateContent>
  <xr:revisionPtr revIDLastSave="0" documentId="8_{E202EF5E-C7C2-40FC-AE4D-D2A0570F4E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KeepSe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9" i="1" l="1"/>
  <c r="C18" i="1"/>
  <c r="H24" i="1" l="1"/>
  <c r="C12" i="1"/>
  <c r="C13" i="1" l="1"/>
  <c r="C24" i="1" s="1"/>
  <c r="H6" i="1"/>
  <c r="H9" i="1"/>
  <c r="H15" i="1" s="1"/>
  <c r="H16" i="1" s="1"/>
  <c r="F17" i="1"/>
  <c r="H17" i="1" s="1"/>
  <c r="G17" i="1"/>
  <c r="H18" i="1"/>
  <c r="H29" i="1"/>
  <c r="H30" i="1" s="1"/>
  <c r="C29" i="1"/>
  <c r="C30" i="1"/>
  <c r="C7" i="1"/>
  <c r="H19" i="1" l="1"/>
  <c r="H20" i="1" s="1"/>
  <c r="C25" i="1" s="1"/>
  <c r="C26" i="1" s="1"/>
  <c r="C44" i="1" s="1"/>
  <c r="C46" i="1" s="1"/>
  <c r="C31" i="1"/>
  <c r="C47" i="1" s="1"/>
  <c r="H31" i="1"/>
  <c r="H37" i="1"/>
  <c r="H40" i="1" s="1"/>
  <c r="H32" i="1" s="1"/>
  <c r="H33" i="1" s="1"/>
  <c r="I44" i="1" l="1"/>
  <c r="C51" i="1" l="1"/>
  <c r="C53" i="1" s="1"/>
  <c r="C50" i="1"/>
</calcChain>
</file>

<file path=xl/sharedStrings.xml><?xml version="1.0" encoding="utf-8"?>
<sst xmlns="http://schemas.openxmlformats.org/spreadsheetml/2006/main" count="94" uniqueCount="79">
  <si>
    <t xml:space="preserve"> Input figures in YELLOW BOXES</t>
  </si>
  <si>
    <t>COST CALCULATIONS</t>
  </si>
  <si>
    <t>CASH FLOW CALCULATIONS</t>
  </si>
  <si>
    <t>Original Purchase price</t>
  </si>
  <si>
    <t xml:space="preserve"> </t>
  </si>
  <si>
    <t>weekly rent</t>
    <phoneticPr fontId="0" type="noConversion"/>
  </si>
  <si>
    <t>vacancy rate</t>
    <phoneticPr fontId="0" type="noConversion"/>
  </si>
  <si>
    <t>rent p/a</t>
    <phoneticPr fontId="0" type="noConversion"/>
  </si>
  <si>
    <t>Current Loan Amount</t>
  </si>
  <si>
    <t>Gross Income</t>
  </si>
  <si>
    <t>Calculated LVR</t>
  </si>
  <si>
    <t>Expenses</t>
  </si>
  <si>
    <t>Deposit</t>
  </si>
  <si>
    <t>Rates</t>
  </si>
  <si>
    <t xml:space="preserve">Strategy Costs </t>
  </si>
  <si>
    <t>Prop Mgt</t>
  </si>
  <si>
    <t>SD/Legals on purchase</t>
  </si>
  <si>
    <t>Land Tax</t>
  </si>
  <si>
    <t>Holding Costs</t>
  </si>
  <si>
    <t>Ins</t>
  </si>
  <si>
    <t>Total Cost</t>
  </si>
  <si>
    <t>Body Corp</t>
  </si>
  <si>
    <t>Growth Rate ( Average per Annum)</t>
  </si>
  <si>
    <t>Maintainence</t>
  </si>
  <si>
    <t>Interest Rate on Loan</t>
  </si>
  <si>
    <t>Water</t>
  </si>
  <si>
    <t>Sell Price / reval price</t>
    <phoneticPr fontId="0" type="noConversion"/>
  </si>
  <si>
    <t>Total Expenses</t>
  </si>
  <si>
    <t>Years Owned</t>
  </si>
  <si>
    <t>Net Income</t>
  </si>
  <si>
    <t>Interest</t>
    <phoneticPr fontId="0" type="noConversion"/>
  </si>
  <si>
    <t xml:space="preserve">Other Interest </t>
  </si>
  <si>
    <t>Total Interest Paid</t>
  </si>
  <si>
    <t>Cashflow</t>
    <phoneticPr fontId="0" type="noConversion"/>
  </si>
  <si>
    <t>KEEP CALCULATIONS</t>
  </si>
  <si>
    <t>SELL CALCULATIONS</t>
  </si>
  <si>
    <t>Sell Price</t>
  </si>
  <si>
    <t>Selling Costs</t>
  </si>
  <si>
    <t>Agent Comm</t>
  </si>
  <si>
    <t>Advert</t>
  </si>
  <si>
    <t>Refinance LVR</t>
    <phoneticPr fontId="0" type="noConversion"/>
  </si>
  <si>
    <t>Legals</t>
  </si>
  <si>
    <t>New loan on refinance</t>
  </si>
  <si>
    <t xml:space="preserve">Minus loan Amount </t>
  </si>
  <si>
    <t>Gives Proceeds of Sale</t>
  </si>
  <si>
    <t>Gives Equity available on refinance</t>
  </si>
  <si>
    <t>Total Gain</t>
  </si>
  <si>
    <t>Tax rate</t>
    <phoneticPr fontId="0" type="noConversion"/>
  </si>
  <si>
    <t>CGT Disc ( enter 50% for &gt; 12 months)</t>
  </si>
  <si>
    <t>Available for re-investment</t>
  </si>
  <si>
    <t xml:space="preserve"> OUTCOME - KEEP</t>
  </si>
  <si>
    <t>Refinance Amount</t>
  </si>
  <si>
    <t xml:space="preserve"> OUTCOME - SELL</t>
  </si>
  <si>
    <t>Available to Reinvest</t>
  </si>
  <si>
    <t>Required Return on Equity % for Alternate Investment</t>
  </si>
  <si>
    <t xml:space="preserve">Question - where can I find an investment that returns MORE than? </t>
  </si>
  <si>
    <t>CGT CALCULATIONS</t>
  </si>
  <si>
    <t>AVAILABLE FOR RE-INVESTMENT</t>
  </si>
  <si>
    <t>Less  Loan Sum gives</t>
  </si>
  <si>
    <t>Less Total Selling Costs of</t>
  </si>
  <si>
    <t xml:space="preserve">Less CGT payable of </t>
  </si>
  <si>
    <t>Gives Sum Available to reinvest</t>
  </si>
  <si>
    <t>OBSERVATIONS</t>
  </si>
  <si>
    <t>Hold</t>
  </si>
  <si>
    <t>Refinace</t>
  </si>
  <si>
    <t>Only Hold if there is adequate Equity and/or cashflow OR immediate potential to improve either Equity or Cashflow. Use the Return on equity figure as a comparison for alternate investments</t>
  </si>
  <si>
    <t>Only refinance if there is sufficient Available to reinvest funds that you can use. Funds below $10k may not be useful</t>
  </si>
  <si>
    <t>Sell</t>
  </si>
  <si>
    <t>Consider selling if both your growth + cashflow is negative AND there is nothing that can be done to improve either of these</t>
  </si>
  <si>
    <t>CGT Payable</t>
  </si>
  <si>
    <t>Current Cashflow &amp; Growth PA</t>
  </si>
  <si>
    <t>Current Growth rate x Property Value</t>
  </si>
  <si>
    <t>Current Operational Cashflow</t>
  </si>
  <si>
    <t>Current Annual Growth + Cashflow p.a</t>
  </si>
  <si>
    <t>Current Average Annual R.O.E. %</t>
  </si>
  <si>
    <t>Note that this spreadsheet is for investors ONLY - ie those who have let their property.</t>
  </si>
  <si>
    <t>Total CURRENT Equity in Property</t>
  </si>
  <si>
    <t>Total USED Equity in Property</t>
  </si>
  <si>
    <t xml:space="preserve">OPPORTUNITY COSTS ANALYSIS v.140322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</si>
</sst>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&quot;$&quot;* #,##0_-;\-&quot;$&quot;* #,##0_-;_-&quot;$&quot;* &quot;-&quot;??_-;_-@_-"/>
    <numFmt numFmtId="165" formatCode="&quot;$&quot;#,##0.00_);[Red]\(&quot;$&quot;#,##0.00\)"/>
    <numFmt numFmtId="166" formatCode="_-&quot;$&quot;* #,##0.00_-;\-&quot;$&quot;* #,##0.00_-;_-&quot;$&quot;* &quot;-&quot;_-;_-@_-"/>
    <numFmt numFmtId="167" formatCode="&quot;$&quot;#,##0"/>
  </numFmts>
  <fonts count="5" x14ac:knownFonts="1"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7">
    <xf numFmtId="0" fontId="0" fillId="0" borderId="0" xfId="0"/>
    <xf numFmtId="0" fontId="0" fillId="0" borderId="0" xfId="0" applyProtection="1"/>
    <xf numFmtId="164" fontId="0" fillId="2" borderId="6" xfId="2" applyNumberFormat="1" applyFont="1" applyFill="1" applyBorder="1" applyProtection="1">
      <protection locked="0"/>
    </xf>
    <xf numFmtId="0" fontId="3" fillId="0" borderId="5" xfId="0" applyFont="1" applyBorder="1" applyProtection="1"/>
    <xf numFmtId="0" fontId="0" fillId="0" borderId="4" xfId="0" applyBorder="1" applyProtection="1"/>
    <xf numFmtId="44" fontId="0" fillId="0" borderId="4" xfId="2" applyFont="1" applyFill="1" applyBorder="1" applyProtection="1"/>
    <xf numFmtId="0" fontId="0" fillId="0" borderId="6" xfId="0" applyBorder="1" applyProtection="1"/>
    <xf numFmtId="164" fontId="0" fillId="3" borderId="8" xfId="2" applyNumberFormat="1" applyFont="1" applyFill="1" applyBorder="1" applyProtection="1">
      <protection locked="0"/>
    </xf>
    <xf numFmtId="0" fontId="3" fillId="0" borderId="7" xfId="0" applyFont="1" applyBorder="1" applyProtection="1"/>
    <xf numFmtId="44" fontId="0" fillId="2" borderId="0" xfId="2" applyFont="1" applyFill="1" applyBorder="1" applyProtection="1">
      <protection locked="0"/>
    </xf>
    <xf numFmtId="9" fontId="0" fillId="2" borderId="0" xfId="3" applyFont="1" applyFill="1" applyBorder="1" applyProtection="1">
      <protection locked="0"/>
    </xf>
    <xf numFmtId="44" fontId="3" fillId="0" borderId="0" xfId="2" applyFont="1" applyBorder="1" applyProtection="1"/>
    <xf numFmtId="0" fontId="0" fillId="0" borderId="8" xfId="0" applyBorder="1" applyProtection="1"/>
    <xf numFmtId="9" fontId="0" fillId="4" borderId="8" xfId="2" applyNumberFormat="1" applyFont="1" applyFill="1" applyBorder="1" applyProtection="1"/>
    <xf numFmtId="0" fontId="4" fillId="0" borderId="7" xfId="0" applyFont="1" applyBorder="1" applyProtection="1"/>
    <xf numFmtId="0" fontId="0" fillId="0" borderId="0" xfId="0" applyBorder="1" applyProtection="1"/>
    <xf numFmtId="0" fontId="0" fillId="0" borderId="7" xfId="0" applyBorder="1" applyProtection="1"/>
    <xf numFmtId="44" fontId="0" fillId="0" borderId="8" xfId="2" applyFont="1" applyBorder="1" applyProtection="1"/>
    <xf numFmtId="164" fontId="0" fillId="2" borderId="8" xfId="2" applyNumberFormat="1" applyFont="1" applyFill="1" applyBorder="1" applyProtection="1">
      <protection locked="0"/>
    </xf>
    <xf numFmtId="10" fontId="0" fillId="0" borderId="0" xfId="3" applyNumberFormat="1" applyFont="1" applyFill="1" applyBorder="1" applyProtection="1"/>
    <xf numFmtId="10" fontId="0" fillId="2" borderId="0" xfId="3" applyNumberFormat="1" applyFont="1" applyFill="1" applyBorder="1" applyProtection="1">
      <protection locked="0"/>
    </xf>
    <xf numFmtId="44" fontId="0" fillId="0" borderId="0" xfId="2" applyFont="1" applyBorder="1" applyProtection="1"/>
    <xf numFmtId="164" fontId="3" fillId="0" borderId="8" xfId="2" applyNumberFormat="1" applyFont="1" applyFill="1" applyBorder="1" applyProtection="1"/>
    <xf numFmtId="10" fontId="3" fillId="4" borderId="8" xfId="3" applyNumberFormat="1" applyFont="1" applyFill="1" applyBorder="1" applyProtection="1"/>
    <xf numFmtId="10" fontId="0" fillId="3" borderId="8" xfId="0" applyNumberFormat="1" applyFill="1" applyBorder="1" applyProtection="1">
      <protection locked="0"/>
    </xf>
    <xf numFmtId="0" fontId="1" fillId="0" borderId="7" xfId="0" applyFont="1" applyBorder="1" applyProtection="1"/>
    <xf numFmtId="44" fontId="3" fillId="0" borderId="0" xfId="0" applyNumberFormat="1" applyFont="1" applyBorder="1" applyProtection="1"/>
    <xf numFmtId="2" fontId="0" fillId="3" borderId="8" xfId="0" applyNumberFormat="1" applyFill="1" applyBorder="1" applyProtection="1">
      <protection locked="0"/>
    </xf>
    <xf numFmtId="44" fontId="1" fillId="0" borderId="8" xfId="0" applyNumberFormat="1" applyFont="1" applyBorder="1" applyProtection="1"/>
    <xf numFmtId="0" fontId="1" fillId="0" borderId="0" xfId="0" applyFont="1" applyBorder="1" applyProtection="1"/>
    <xf numFmtId="164" fontId="3" fillId="0" borderId="8" xfId="0" applyNumberFormat="1" applyFont="1" applyBorder="1" applyProtection="1"/>
    <xf numFmtId="164" fontId="0" fillId="0" borderId="0" xfId="2" applyNumberFormat="1" applyFont="1" applyFill="1" applyBorder="1" applyProtection="1"/>
    <xf numFmtId="10" fontId="1" fillId="4" borderId="0" xfId="3" applyNumberFormat="1" applyFont="1" applyFill="1" applyBorder="1" applyProtection="1"/>
    <xf numFmtId="165" fontId="1" fillId="0" borderId="8" xfId="0" applyNumberFormat="1" applyFont="1" applyBorder="1" applyProtection="1"/>
    <xf numFmtId="164" fontId="0" fillId="3" borderId="0" xfId="2" applyNumberFormat="1" applyFont="1" applyFill="1" applyBorder="1" applyProtection="1">
      <protection locked="0"/>
    </xf>
    <xf numFmtId="10" fontId="0" fillId="3" borderId="0" xfId="3" applyNumberFormat="1" applyFont="1" applyFill="1" applyBorder="1" applyProtection="1">
      <protection locked="0"/>
    </xf>
    <xf numFmtId="0" fontId="0" fillId="0" borderId="11" xfId="0" applyBorder="1" applyProtection="1"/>
    <xf numFmtId="0" fontId="3" fillId="0" borderId="9" xfId="0" applyFont="1" applyBorder="1" applyProtection="1"/>
    <xf numFmtId="0" fontId="0" fillId="0" borderId="10" xfId="0" applyBorder="1" applyProtection="1"/>
    <xf numFmtId="44" fontId="3" fillId="0" borderId="10" xfId="2" applyFont="1" applyFill="1" applyBorder="1" applyProtection="1"/>
    <xf numFmtId="0" fontId="0" fillId="0" borderId="5" xfId="0" applyBorder="1" applyProtection="1"/>
    <xf numFmtId="166" fontId="0" fillId="0" borderId="8" xfId="2" applyNumberFormat="1" applyFont="1" applyBorder="1" applyProtection="1"/>
    <xf numFmtId="166" fontId="3" fillId="0" borderId="12" xfId="2" applyNumberFormat="1" applyFont="1" applyBorder="1" applyProtection="1"/>
    <xf numFmtId="164" fontId="0" fillId="2" borderId="0" xfId="2" applyNumberFormat="1" applyFont="1" applyFill="1" applyBorder="1" applyProtection="1">
      <protection locked="0"/>
    </xf>
    <xf numFmtId="9" fontId="0" fillId="2" borderId="8" xfId="3" applyFont="1" applyFill="1" applyBorder="1" applyProtection="1">
      <protection locked="0"/>
    </xf>
    <xf numFmtId="164" fontId="3" fillId="0" borderId="0" xfId="2" applyNumberFormat="1" applyFont="1" applyBorder="1" applyProtection="1"/>
    <xf numFmtId="166" fontId="0" fillId="0" borderId="8" xfId="2" applyNumberFormat="1" applyFont="1" applyFill="1" applyBorder="1" applyProtection="1"/>
    <xf numFmtId="164" fontId="0" fillId="0" borderId="0" xfId="2" applyNumberFormat="1" applyFont="1" applyBorder="1" applyProtection="1"/>
    <xf numFmtId="166" fontId="3" fillId="0" borderId="13" xfId="2" applyNumberFormat="1" applyFont="1" applyBorder="1" applyProtection="1"/>
    <xf numFmtId="166" fontId="3" fillId="0" borderId="8" xfId="2" applyNumberFormat="1" applyFont="1" applyBorder="1" applyProtection="1"/>
    <xf numFmtId="164" fontId="0" fillId="0" borderId="0" xfId="0" applyNumberFormat="1" applyBorder="1" applyProtection="1"/>
    <xf numFmtId="164" fontId="1" fillId="0" borderId="8" xfId="2" applyNumberFormat="1" applyFont="1" applyBorder="1" applyProtection="1"/>
    <xf numFmtId="9" fontId="0" fillId="3" borderId="0" xfId="3" applyFont="1" applyFill="1" applyBorder="1" applyProtection="1">
      <protection locked="0"/>
    </xf>
    <xf numFmtId="9" fontId="3" fillId="3" borderId="0" xfId="2" applyNumberFormat="1" applyFont="1" applyFill="1" applyBorder="1" applyProtection="1">
      <protection locked="0"/>
    </xf>
    <xf numFmtId="42" fontId="1" fillId="0" borderId="8" xfId="2" applyNumberFormat="1" applyFont="1" applyBorder="1" applyProtection="1"/>
    <xf numFmtId="44" fontId="1" fillId="0" borderId="8" xfId="2" applyFont="1" applyBorder="1" applyProtection="1"/>
    <xf numFmtId="0" fontId="0" fillId="0" borderId="9" xfId="0" applyBorder="1" applyProtection="1"/>
    <xf numFmtId="42" fontId="0" fillId="0" borderId="0" xfId="0" applyNumberFormat="1" applyProtection="1"/>
    <xf numFmtId="43" fontId="0" fillId="0" borderId="0" xfId="1" applyFont="1" applyProtection="1"/>
    <xf numFmtId="10" fontId="3" fillId="0" borderId="8" xfId="0" applyNumberFormat="1" applyFont="1" applyBorder="1" applyProtection="1"/>
    <xf numFmtId="166" fontId="3" fillId="0" borderId="8" xfId="0" applyNumberFormat="1" applyFont="1" applyBorder="1" applyProtection="1"/>
    <xf numFmtId="0" fontId="3" fillId="0" borderId="0" xfId="0" applyFont="1" applyBorder="1" applyProtection="1"/>
    <xf numFmtId="166" fontId="3" fillId="0" borderId="0" xfId="0" applyNumberFormat="1" applyFont="1" applyBorder="1" applyProtection="1"/>
    <xf numFmtId="10" fontId="3" fillId="0" borderId="8" xfId="0" applyNumberFormat="1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left"/>
    </xf>
    <xf numFmtId="0" fontId="0" fillId="0" borderId="0" xfId="0" applyBorder="1" applyAlignment="1" applyProtection="1">
      <alignment horizontal="left"/>
    </xf>
    <xf numFmtId="0" fontId="0" fillId="0" borderId="7" xfId="0" applyFont="1" applyBorder="1" applyProtection="1"/>
    <xf numFmtId="164" fontId="0" fillId="0" borderId="0" xfId="0" applyNumberFormat="1" applyProtection="1"/>
    <xf numFmtId="0" fontId="0" fillId="0" borderId="7" xfId="0" applyFont="1" applyFill="1" applyBorder="1" applyProtection="1"/>
    <xf numFmtId="164" fontId="0" fillId="0" borderId="4" xfId="0" applyNumberFormat="1" applyBorder="1" applyProtection="1"/>
    <xf numFmtId="164" fontId="1" fillId="0" borderId="11" xfId="2" applyNumberFormat="1" applyFont="1" applyBorder="1" applyProtection="1"/>
    <xf numFmtId="0" fontId="0" fillId="0" borderId="2" xfId="0" applyBorder="1" applyProtection="1"/>
    <xf numFmtId="0" fontId="3" fillId="0" borderId="7" xfId="0" applyFont="1" applyFill="1" applyBorder="1" applyProtection="1"/>
    <xf numFmtId="0" fontId="3" fillId="0" borderId="1" xfId="0" applyFont="1" applyBorder="1" applyAlignment="1" applyProtection="1"/>
    <xf numFmtId="166" fontId="3" fillId="0" borderId="14" xfId="0" applyNumberFormat="1" applyFont="1" applyBorder="1" applyProtection="1"/>
    <xf numFmtId="166" fontId="3" fillId="0" borderId="15" xfId="0" applyNumberFormat="1" applyFont="1" applyBorder="1" applyProtection="1"/>
    <xf numFmtId="164" fontId="3" fillId="0" borderId="15" xfId="2" applyNumberFormat="1" applyFont="1" applyBorder="1" applyProtection="1"/>
    <xf numFmtId="167" fontId="3" fillId="0" borderId="8" xfId="0" applyNumberFormat="1" applyFont="1" applyBorder="1" applyProtection="1"/>
    <xf numFmtId="0" fontId="3" fillId="0" borderId="7" xfId="0" applyFont="1" applyBorder="1" applyAlignment="1" applyProtection="1">
      <alignment horizontal="left" vertical="center" wrapText="1"/>
    </xf>
    <xf numFmtId="0" fontId="3" fillId="0" borderId="0" xfId="0" applyFont="1" applyBorder="1" applyAlignment="1" applyProtection="1">
      <alignment horizontal="left" vertical="center" wrapText="1"/>
    </xf>
    <xf numFmtId="0" fontId="3" fillId="0" borderId="20" xfId="0" applyFont="1" applyBorder="1" applyAlignment="1" applyProtection="1">
      <alignment horizontal="left" vertical="center"/>
    </xf>
    <xf numFmtId="0" fontId="3" fillId="0" borderId="16" xfId="0" applyFont="1" applyBorder="1" applyAlignment="1" applyProtection="1">
      <alignment horizontal="left" vertical="center"/>
    </xf>
    <xf numFmtId="0" fontId="3" fillId="0" borderId="22" xfId="0" applyFont="1" applyBorder="1" applyAlignment="1" applyProtection="1">
      <alignment horizontal="left" vertical="center"/>
    </xf>
    <xf numFmtId="0" fontId="3" fillId="0" borderId="23" xfId="0" applyFont="1" applyBorder="1" applyAlignment="1" applyProtection="1">
      <alignment horizontal="left" vertical="center"/>
    </xf>
    <xf numFmtId="0" fontId="0" fillId="0" borderId="16" xfId="0" applyBorder="1" applyAlignment="1" applyProtection="1">
      <alignment horizontal="center" vertical="center" wrapText="1"/>
    </xf>
    <xf numFmtId="0" fontId="0" fillId="0" borderId="21" xfId="0" applyBorder="1" applyAlignment="1" applyProtection="1">
      <alignment horizontal="center" vertical="center" wrapText="1"/>
    </xf>
    <xf numFmtId="0" fontId="0" fillId="0" borderId="23" xfId="0" applyBorder="1" applyAlignment="1" applyProtection="1">
      <alignment horizontal="center" vertical="center" wrapText="1"/>
    </xf>
    <xf numFmtId="0" fontId="0" fillId="0" borderId="24" xfId="0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/>
    </xf>
    <xf numFmtId="0" fontId="3" fillId="0" borderId="4" xfId="0" applyFont="1" applyBorder="1" applyAlignment="1" applyProtection="1">
      <alignment horizontal="center"/>
    </xf>
    <xf numFmtId="0" fontId="3" fillId="0" borderId="6" xfId="0" applyFont="1" applyBorder="1" applyAlignment="1" applyProtection="1">
      <alignment horizontal="center"/>
    </xf>
    <xf numFmtId="0" fontId="1" fillId="0" borderId="7" xfId="0" applyFont="1" applyBorder="1" applyAlignment="1" applyProtection="1">
      <alignment horizontal="left"/>
    </xf>
    <xf numFmtId="0" fontId="0" fillId="0" borderId="0" xfId="0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0" fontId="3" fillId="0" borderId="2" xfId="0" applyFont="1" applyBorder="1" applyAlignment="1" applyProtection="1">
      <alignment horizontal="center"/>
    </xf>
    <xf numFmtId="0" fontId="3" fillId="0" borderId="3" xfId="0" applyFont="1" applyBorder="1" applyAlignment="1" applyProtection="1">
      <alignment horizontal="center"/>
    </xf>
    <xf numFmtId="0" fontId="3" fillId="0" borderId="17" xfId="0" applyFont="1" applyBorder="1" applyAlignment="1" applyProtection="1">
      <alignment horizontal="left" vertical="center"/>
    </xf>
    <xf numFmtId="0" fontId="3" fillId="0" borderId="18" xfId="0" applyFont="1" applyBorder="1" applyAlignment="1" applyProtection="1">
      <alignment horizontal="left" vertical="center"/>
    </xf>
    <xf numFmtId="0" fontId="0" fillId="0" borderId="18" xfId="0" applyBorder="1" applyAlignment="1" applyProtection="1">
      <alignment horizontal="left" vertical="center" wrapText="1"/>
    </xf>
    <xf numFmtId="0" fontId="0" fillId="0" borderId="19" xfId="0" applyBorder="1" applyAlignment="1" applyProtection="1">
      <alignment horizontal="left" vertical="center" wrapText="1"/>
    </xf>
    <xf numFmtId="0" fontId="0" fillId="0" borderId="16" xfId="0" applyBorder="1" applyAlignment="1" applyProtection="1">
      <alignment horizontal="left" vertical="center" wrapText="1"/>
    </xf>
    <xf numFmtId="0" fontId="0" fillId="0" borderId="21" xfId="0" applyBorder="1" applyAlignment="1" applyProtection="1">
      <alignment horizontal="left" vertical="center" wrapText="1"/>
    </xf>
    <xf numFmtId="0" fontId="0" fillId="0" borderId="7" xfId="0" applyBorder="1" applyAlignment="1" applyProtection="1">
      <alignment horizontal="left"/>
    </xf>
    <xf numFmtId="0" fontId="0" fillId="0" borderId="9" xfId="0" applyBorder="1" applyAlignment="1" applyProtection="1">
      <alignment horizontal="left"/>
    </xf>
    <xf numFmtId="0" fontId="0" fillId="0" borderId="10" xfId="0" applyBorder="1" applyAlignment="1" applyProtection="1">
      <alignment horizontal="left"/>
    </xf>
    <xf numFmtId="0" fontId="0" fillId="0" borderId="5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2" fillId="0" borderId="10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>
      <alignment horizontal="left"/>
    </xf>
    <xf numFmtId="0" fontId="0" fillId="0" borderId="4" xfId="0" applyBorder="1" applyAlignment="1" applyProtection="1">
      <alignment horizontal="left"/>
    </xf>
    <xf numFmtId="0" fontId="1" fillId="0" borderId="0" xfId="0" applyFont="1" applyBorder="1" applyAlignment="1" applyProtection="1">
      <alignment horizontal="left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12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4"/>
  <sheetViews>
    <sheetView tabSelected="1" zoomScaleNormal="100" workbookViewId="0">
      <selection activeCell="C9" sqref="C9"/>
    </sheetView>
  </sheetViews>
  <sheetFormatPr defaultColWidth="8.85546875" defaultRowHeight="12.75" x14ac:dyDescent="0.2"/>
  <cols>
    <col min="1" max="1" width="14.7109375" style="1" customWidth="1"/>
    <col min="2" max="2" width="19" style="1" customWidth="1"/>
    <col min="3" max="3" width="19.140625" style="1" customWidth="1"/>
    <col min="4" max="4" width="4.5703125" style="1" customWidth="1"/>
    <col min="5" max="5" width="14.85546875" style="1" customWidth="1"/>
    <col min="6" max="6" width="10.28515625" style="1" customWidth="1"/>
    <col min="7" max="7" width="13.7109375" style="1" customWidth="1"/>
    <col min="8" max="8" width="14.42578125" style="1" customWidth="1"/>
    <col min="9" max="9" width="12.7109375" style="1" customWidth="1"/>
    <col min="10" max="10" width="12" style="1" customWidth="1"/>
    <col min="11" max="16384" width="8.85546875" style="1"/>
  </cols>
  <sheetData>
    <row r="1" spans="1:9" ht="31.5" customHeight="1" thickBot="1" x14ac:dyDescent="0.25">
      <c r="A1" s="107" t="s">
        <v>78</v>
      </c>
      <c r="B1" s="107"/>
      <c r="C1" s="107"/>
      <c r="D1" s="107"/>
      <c r="E1" s="107"/>
      <c r="F1" s="107"/>
      <c r="G1" s="107"/>
      <c r="H1" s="107"/>
      <c r="I1" s="107"/>
    </row>
    <row r="2" spans="1:9" ht="27" customHeight="1" thickBot="1" x14ac:dyDescent="0.25">
      <c r="A2" s="110" t="s">
        <v>75</v>
      </c>
      <c r="B2" s="111"/>
      <c r="C2" s="111"/>
      <c r="D2" s="111"/>
      <c r="E2" s="111"/>
      <c r="F2" s="111"/>
      <c r="G2" s="111"/>
      <c r="H2" s="111"/>
      <c r="I2" s="112"/>
    </row>
    <row r="3" spans="1:9" ht="18.75" thickBot="1" x14ac:dyDescent="0.3">
      <c r="A3" s="113" t="s">
        <v>0</v>
      </c>
      <c r="B3" s="113"/>
      <c r="C3" s="113"/>
      <c r="D3" s="113"/>
      <c r="E3" s="113"/>
      <c r="F3" s="113"/>
      <c r="G3" s="113"/>
      <c r="H3" s="113"/>
      <c r="I3" s="113"/>
    </row>
    <row r="4" spans="1:9" ht="13.5" thickBot="1" x14ac:dyDescent="0.25">
      <c r="A4" s="93" t="s">
        <v>1</v>
      </c>
      <c r="B4" s="94"/>
      <c r="C4" s="95"/>
      <c r="E4" s="88" t="s">
        <v>2</v>
      </c>
      <c r="F4" s="89"/>
      <c r="G4" s="89"/>
      <c r="H4" s="89"/>
      <c r="I4" s="90"/>
    </row>
    <row r="5" spans="1:9" x14ac:dyDescent="0.2">
      <c r="A5" s="114" t="s">
        <v>3</v>
      </c>
      <c r="B5" s="115"/>
      <c r="C5" s="2">
        <v>142500</v>
      </c>
      <c r="E5" s="3" t="s">
        <v>4</v>
      </c>
      <c r="F5" s="4" t="s">
        <v>5</v>
      </c>
      <c r="G5" s="5" t="s">
        <v>6</v>
      </c>
      <c r="H5" s="4" t="s">
        <v>7</v>
      </c>
      <c r="I5" s="6"/>
    </row>
    <row r="6" spans="1:9" x14ac:dyDescent="0.2">
      <c r="A6" s="91" t="s">
        <v>8</v>
      </c>
      <c r="B6" s="92"/>
      <c r="C6" s="7">
        <v>114000</v>
      </c>
      <c r="E6" s="8" t="s">
        <v>9</v>
      </c>
      <c r="F6" s="9">
        <v>200</v>
      </c>
      <c r="G6" s="10">
        <v>1.83E-2</v>
      </c>
      <c r="H6" s="11">
        <f>(+F6*52)*(1-G6)</f>
        <v>10209.68</v>
      </c>
      <c r="I6" s="12"/>
    </row>
    <row r="7" spans="1:9" x14ac:dyDescent="0.2">
      <c r="A7" s="102" t="s">
        <v>10</v>
      </c>
      <c r="B7" s="92"/>
      <c r="C7" s="13">
        <f>C6/C15</f>
        <v>0.61621621621621625</v>
      </c>
      <c r="E7" s="14" t="s">
        <v>11</v>
      </c>
      <c r="F7" s="15"/>
      <c r="G7" s="15"/>
      <c r="H7" s="15"/>
      <c r="I7" s="12"/>
    </row>
    <row r="8" spans="1:9" x14ac:dyDescent="0.2">
      <c r="A8" s="91" t="s">
        <v>12</v>
      </c>
      <c r="B8" s="92"/>
      <c r="C8" s="7">
        <v>14500</v>
      </c>
      <c r="E8" s="16" t="s">
        <v>13</v>
      </c>
      <c r="F8" s="15"/>
      <c r="G8" s="15"/>
      <c r="H8" s="9">
        <v>1000</v>
      </c>
      <c r="I8" s="17"/>
    </row>
    <row r="9" spans="1:9" x14ac:dyDescent="0.2">
      <c r="A9" s="91" t="s">
        <v>14</v>
      </c>
      <c r="B9" s="92"/>
      <c r="C9" s="18">
        <v>20000</v>
      </c>
      <c r="E9" s="16" t="s">
        <v>15</v>
      </c>
      <c r="F9" s="19"/>
      <c r="G9" s="20">
        <v>6.5000000000000002E-2</v>
      </c>
      <c r="H9" s="21">
        <f>+H6*G9</f>
        <v>663.62920000000008</v>
      </c>
      <c r="I9" s="12"/>
    </row>
    <row r="10" spans="1:9" x14ac:dyDescent="0.2">
      <c r="A10" s="102" t="s">
        <v>16</v>
      </c>
      <c r="B10" s="92"/>
      <c r="C10" s="18">
        <v>4350</v>
      </c>
      <c r="E10" s="16" t="s">
        <v>17</v>
      </c>
      <c r="F10" s="15"/>
      <c r="G10" s="15"/>
      <c r="H10" s="9">
        <v>400</v>
      </c>
      <c r="I10" s="12"/>
    </row>
    <row r="11" spans="1:9" x14ac:dyDescent="0.2">
      <c r="A11" s="91" t="s">
        <v>18</v>
      </c>
      <c r="B11" s="116"/>
      <c r="C11" s="18">
        <v>1250</v>
      </c>
      <c r="E11" s="16" t="s">
        <v>19</v>
      </c>
      <c r="F11" s="15"/>
      <c r="G11" s="15"/>
      <c r="H11" s="9">
        <v>750</v>
      </c>
      <c r="I11" s="12"/>
    </row>
    <row r="12" spans="1:9" x14ac:dyDescent="0.2">
      <c r="A12" s="108" t="s">
        <v>20</v>
      </c>
      <c r="B12" s="109"/>
      <c r="C12" s="22">
        <f>C5+C9+C10+C11</f>
        <v>168100</v>
      </c>
      <c r="E12" s="16" t="s">
        <v>21</v>
      </c>
      <c r="F12" s="15"/>
      <c r="G12" s="15"/>
      <c r="H12" s="9">
        <v>0</v>
      </c>
      <c r="I12" s="12"/>
    </row>
    <row r="13" spans="1:9" x14ac:dyDescent="0.2">
      <c r="A13" s="91" t="s">
        <v>22</v>
      </c>
      <c r="B13" s="92"/>
      <c r="C13" s="23">
        <f>IF(C16=0,0,((C15/C5)^(1/C16))-1)</f>
        <v>0.13940581621961523</v>
      </c>
      <c r="E13" s="16" t="s">
        <v>23</v>
      </c>
      <c r="F13" s="15"/>
      <c r="G13" s="15"/>
      <c r="H13" s="9">
        <v>1012</v>
      </c>
      <c r="I13" s="12"/>
    </row>
    <row r="14" spans="1:9" x14ac:dyDescent="0.2">
      <c r="A14" s="102" t="s">
        <v>24</v>
      </c>
      <c r="B14" s="92"/>
      <c r="C14" s="24">
        <v>0.05</v>
      </c>
      <c r="E14" s="16" t="s">
        <v>25</v>
      </c>
      <c r="F14" s="15"/>
      <c r="G14" s="15"/>
      <c r="H14" s="9">
        <v>1000</v>
      </c>
      <c r="I14" s="12"/>
    </row>
    <row r="15" spans="1:9" x14ac:dyDescent="0.2">
      <c r="A15" s="102" t="s">
        <v>26</v>
      </c>
      <c r="B15" s="92"/>
      <c r="C15" s="18">
        <v>185000</v>
      </c>
      <c r="E15" s="25" t="s">
        <v>27</v>
      </c>
      <c r="F15" s="15"/>
      <c r="G15" s="15"/>
      <c r="H15" s="26">
        <f>SUM(H8:H14)</f>
        <v>4825.6292000000003</v>
      </c>
      <c r="I15" s="12"/>
    </row>
    <row r="16" spans="1:9" x14ac:dyDescent="0.2">
      <c r="A16" s="91" t="s">
        <v>28</v>
      </c>
      <c r="B16" s="92"/>
      <c r="C16" s="27">
        <v>2</v>
      </c>
      <c r="E16" s="8" t="s">
        <v>29</v>
      </c>
      <c r="F16" s="15"/>
      <c r="G16" s="15"/>
      <c r="H16" s="26">
        <f>H6-H15</f>
        <v>5384.0508</v>
      </c>
      <c r="I16" s="28" t="s">
        <v>4</v>
      </c>
    </row>
    <row r="17" spans="1:10" x14ac:dyDescent="0.2">
      <c r="A17" s="8" t="s">
        <v>4</v>
      </c>
      <c r="B17" s="29" t="s">
        <v>4</v>
      </c>
      <c r="C17" s="30"/>
      <c r="E17" s="16" t="s">
        <v>30</v>
      </c>
      <c r="F17" s="31">
        <f>+C6</f>
        <v>114000</v>
      </c>
      <c r="G17" s="32">
        <f>C14</f>
        <v>0.05</v>
      </c>
      <c r="H17" s="21">
        <f>F17*G17</f>
        <v>5700</v>
      </c>
      <c r="I17" s="33" t="s">
        <v>4</v>
      </c>
    </row>
    <row r="18" spans="1:10" x14ac:dyDescent="0.2">
      <c r="A18" s="8" t="s">
        <v>76</v>
      </c>
      <c r="B18" s="15"/>
      <c r="C18" s="30">
        <f>C15-C6</f>
        <v>71000</v>
      </c>
      <c r="E18" s="25" t="s">
        <v>31</v>
      </c>
      <c r="F18" s="34">
        <v>40000</v>
      </c>
      <c r="G18" s="35">
        <v>0.05</v>
      </c>
      <c r="H18" s="21">
        <f>F18*G18</f>
        <v>2000</v>
      </c>
      <c r="I18" s="33"/>
    </row>
    <row r="19" spans="1:10" x14ac:dyDescent="0.2">
      <c r="A19" s="8" t="s">
        <v>77</v>
      </c>
      <c r="B19" s="15"/>
      <c r="C19" s="30">
        <f>C8+C9+C10+C11</f>
        <v>40100</v>
      </c>
      <c r="E19" s="25" t="s">
        <v>32</v>
      </c>
      <c r="F19" s="31"/>
      <c r="G19" s="32"/>
      <c r="H19" s="21">
        <f>H17+H18</f>
        <v>7700</v>
      </c>
      <c r="I19" s="33"/>
    </row>
    <row r="20" spans="1:10" ht="13.5" thickBot="1" x14ac:dyDescent="0.25">
      <c r="A20" s="103"/>
      <c r="B20" s="104"/>
      <c r="C20" s="36"/>
      <c r="E20" s="37" t="s">
        <v>33</v>
      </c>
      <c r="F20" s="38"/>
      <c r="G20" s="38"/>
      <c r="H20" s="39">
        <f>H16-H19</f>
        <v>-2315.9492</v>
      </c>
      <c r="I20" s="36"/>
    </row>
    <row r="21" spans="1:10" ht="13.5" thickBot="1" x14ac:dyDescent="0.25">
      <c r="A21" s="65"/>
      <c r="B21" s="65"/>
      <c r="C21" s="15"/>
      <c r="E21" s="15"/>
      <c r="F21" s="15"/>
      <c r="G21" s="15"/>
      <c r="H21" s="15"/>
      <c r="I21" s="15"/>
    </row>
    <row r="22" spans="1:10" ht="13.5" thickBot="1" x14ac:dyDescent="0.25">
      <c r="A22" s="93" t="s">
        <v>34</v>
      </c>
      <c r="B22" s="94"/>
      <c r="C22" s="95"/>
      <c r="E22" s="88" t="s">
        <v>35</v>
      </c>
      <c r="F22" s="89"/>
      <c r="G22" s="89"/>
      <c r="H22" s="89"/>
      <c r="I22" s="90"/>
    </row>
    <row r="23" spans="1:10" x14ac:dyDescent="0.2">
      <c r="A23" s="105"/>
      <c r="B23" s="106"/>
      <c r="C23" s="6"/>
      <c r="E23" s="40"/>
      <c r="F23" s="4"/>
      <c r="G23" s="4"/>
      <c r="H23" s="4"/>
      <c r="I23" s="6"/>
    </row>
    <row r="24" spans="1:10" x14ac:dyDescent="0.2">
      <c r="A24" s="91" t="s">
        <v>71</v>
      </c>
      <c r="B24" s="92"/>
      <c r="C24" s="41">
        <f>+C15*C13</f>
        <v>25790.076000628818</v>
      </c>
      <c r="E24" s="16" t="s">
        <v>36</v>
      </c>
      <c r="F24" s="15"/>
      <c r="G24" s="15"/>
      <c r="H24" s="31">
        <f>C15</f>
        <v>185000</v>
      </c>
      <c r="I24" s="12"/>
    </row>
    <row r="25" spans="1:10" x14ac:dyDescent="0.2">
      <c r="A25" s="102" t="s">
        <v>72</v>
      </c>
      <c r="B25" s="92"/>
      <c r="C25" s="41">
        <f>H20</f>
        <v>-2315.9492</v>
      </c>
      <c r="E25" s="102" t="s">
        <v>37</v>
      </c>
      <c r="F25" s="92"/>
      <c r="G25" s="15"/>
      <c r="H25" s="15"/>
      <c r="I25" s="12"/>
    </row>
    <row r="26" spans="1:10" x14ac:dyDescent="0.2">
      <c r="A26" s="102" t="s">
        <v>73</v>
      </c>
      <c r="B26" s="92"/>
      <c r="C26" s="42">
        <f>C24+C25</f>
        <v>23474.126800628819</v>
      </c>
      <c r="E26" s="102" t="s">
        <v>38</v>
      </c>
      <c r="F26" s="92"/>
      <c r="G26" s="34">
        <v>4625</v>
      </c>
      <c r="H26" s="15"/>
      <c r="I26" s="12"/>
    </row>
    <row r="27" spans="1:10" x14ac:dyDescent="0.2">
      <c r="A27" s="16"/>
      <c r="B27" s="15"/>
      <c r="C27" s="12"/>
      <c r="E27" s="16" t="s">
        <v>39</v>
      </c>
      <c r="F27" s="15"/>
      <c r="G27" s="43">
        <v>1000</v>
      </c>
      <c r="H27" s="15"/>
      <c r="I27" s="12"/>
    </row>
    <row r="28" spans="1:10" x14ac:dyDescent="0.2">
      <c r="A28" s="102" t="s">
        <v>40</v>
      </c>
      <c r="B28" s="92"/>
      <c r="C28" s="44">
        <v>0.8</v>
      </c>
      <c r="E28" s="16" t="s">
        <v>41</v>
      </c>
      <c r="F28" s="15"/>
      <c r="G28" s="43">
        <v>700</v>
      </c>
      <c r="H28" s="15"/>
      <c r="I28" s="12"/>
    </row>
    <row r="29" spans="1:10" x14ac:dyDescent="0.2">
      <c r="A29" s="91" t="s">
        <v>42</v>
      </c>
      <c r="B29" s="92"/>
      <c r="C29" s="41">
        <f>+C15*C28</f>
        <v>148000</v>
      </c>
      <c r="E29" s="66" t="s">
        <v>59</v>
      </c>
      <c r="F29" s="15"/>
      <c r="G29" s="15"/>
      <c r="H29" s="45">
        <f>SUM(G26:G29)</f>
        <v>6325</v>
      </c>
      <c r="I29" s="12"/>
    </row>
    <row r="30" spans="1:10" x14ac:dyDescent="0.2">
      <c r="A30" s="91" t="s">
        <v>43</v>
      </c>
      <c r="B30" s="92"/>
      <c r="C30" s="46">
        <f>C6</f>
        <v>114000</v>
      </c>
      <c r="E30" s="25" t="s">
        <v>44</v>
      </c>
      <c r="F30" s="15"/>
      <c r="G30" s="15"/>
      <c r="H30" s="47">
        <f>H24-H29</f>
        <v>178675</v>
      </c>
      <c r="I30" s="12"/>
    </row>
    <row r="31" spans="1:10" ht="13.5" thickBot="1" x14ac:dyDescent="0.25">
      <c r="A31" s="91" t="s">
        <v>45</v>
      </c>
      <c r="B31" s="92"/>
      <c r="C31" s="48">
        <f>C29-C30</f>
        <v>34000</v>
      </c>
      <c r="E31" s="68" t="s">
        <v>58</v>
      </c>
      <c r="F31" s="15"/>
      <c r="G31" s="15"/>
      <c r="H31" s="50">
        <f>H30-C6</f>
        <v>64675</v>
      </c>
      <c r="I31" s="12"/>
      <c r="J31" s="67" t="s">
        <v>4</v>
      </c>
    </row>
    <row r="32" spans="1:10" ht="13.5" thickTop="1" x14ac:dyDescent="0.2">
      <c r="A32" s="64"/>
      <c r="B32" s="65"/>
      <c r="C32" s="49"/>
      <c r="E32" s="68" t="s">
        <v>60</v>
      </c>
      <c r="F32" s="15"/>
      <c r="G32" s="15"/>
      <c r="H32" s="47">
        <f>H40</f>
        <v>3172.5</v>
      </c>
      <c r="I32" s="12"/>
      <c r="J32" s="67" t="s">
        <v>4</v>
      </c>
    </row>
    <row r="33" spans="1:10" ht="13.5" thickBot="1" x14ac:dyDescent="0.25">
      <c r="A33" s="16"/>
      <c r="B33" s="15"/>
      <c r="C33" s="12"/>
      <c r="E33" s="72" t="s">
        <v>61</v>
      </c>
      <c r="F33" s="15"/>
      <c r="G33" s="15"/>
      <c r="H33" s="75">
        <f>IF(H32&lt;0,H31,(H31-H32))</f>
        <v>61502.5</v>
      </c>
      <c r="I33" s="12"/>
      <c r="J33" s="67" t="s">
        <v>4</v>
      </c>
    </row>
    <row r="34" spans="1:10" ht="14.25" thickTop="1" thickBot="1" x14ac:dyDescent="0.25">
      <c r="A34" s="91" t="s">
        <v>4</v>
      </c>
      <c r="B34" s="92"/>
      <c r="C34" s="28" t="s">
        <v>4</v>
      </c>
      <c r="E34" s="56"/>
      <c r="F34" s="38"/>
      <c r="G34" s="38"/>
      <c r="H34" s="38"/>
      <c r="I34" s="36"/>
    </row>
    <row r="35" spans="1:10" ht="13.5" thickBot="1" x14ac:dyDescent="0.25">
      <c r="A35" s="64"/>
      <c r="B35" s="65"/>
      <c r="C35" s="28"/>
    </row>
    <row r="36" spans="1:10" ht="13.5" thickBot="1" x14ac:dyDescent="0.25">
      <c r="A36" s="64"/>
      <c r="B36" s="65"/>
      <c r="C36" s="28"/>
      <c r="E36" s="88" t="s">
        <v>56</v>
      </c>
      <c r="F36" s="89"/>
      <c r="G36" s="89"/>
      <c r="H36" s="89"/>
      <c r="I36" s="90"/>
    </row>
    <row r="37" spans="1:10" x14ac:dyDescent="0.2">
      <c r="A37" s="64"/>
      <c r="B37" s="65"/>
      <c r="C37" s="28"/>
      <c r="E37" s="40" t="s">
        <v>46</v>
      </c>
      <c r="F37" s="4"/>
      <c r="G37" s="4"/>
      <c r="H37" s="69">
        <f>H30-C12</f>
        <v>10575</v>
      </c>
      <c r="I37" s="6"/>
    </row>
    <row r="38" spans="1:10" x14ac:dyDescent="0.2">
      <c r="A38" s="64"/>
      <c r="B38" s="65"/>
      <c r="C38" s="28"/>
      <c r="E38" s="16" t="s">
        <v>47</v>
      </c>
      <c r="F38" s="15"/>
      <c r="G38" s="52">
        <v>0.3</v>
      </c>
      <c r="H38" s="45"/>
      <c r="I38" s="12"/>
    </row>
    <row r="39" spans="1:10" x14ac:dyDescent="0.2">
      <c r="A39" s="16"/>
      <c r="B39" s="15"/>
      <c r="C39" s="12"/>
      <c r="E39" s="25" t="s">
        <v>48</v>
      </c>
      <c r="F39" s="15"/>
      <c r="G39" s="15"/>
      <c r="H39" s="53">
        <v>0</v>
      </c>
      <c r="I39" s="51"/>
    </row>
    <row r="40" spans="1:10" ht="13.5" thickBot="1" x14ac:dyDescent="0.25">
      <c r="A40" s="91" t="s">
        <v>4</v>
      </c>
      <c r="B40" s="92"/>
      <c r="C40" s="55" t="s">
        <v>4</v>
      </c>
      <c r="E40" s="8" t="s">
        <v>69</v>
      </c>
      <c r="F40" s="15"/>
      <c r="G40" s="15"/>
      <c r="H40" s="76">
        <f>(H37*(1-H39))*G38</f>
        <v>3172.5</v>
      </c>
      <c r="I40" s="54" t="s">
        <v>4</v>
      </c>
    </row>
    <row r="41" spans="1:10" ht="14.25" thickTop="1" thickBot="1" x14ac:dyDescent="0.25">
      <c r="A41" s="56"/>
      <c r="B41" s="38"/>
      <c r="C41" s="36"/>
      <c r="E41" s="56"/>
      <c r="F41" s="38"/>
      <c r="G41" s="38"/>
      <c r="H41" s="38"/>
      <c r="I41" s="70"/>
    </row>
    <row r="42" spans="1:10" ht="13.5" thickBot="1" x14ac:dyDescent="0.25">
      <c r="B42" s="57"/>
    </row>
    <row r="43" spans="1:10" ht="13.5" thickBot="1" x14ac:dyDescent="0.25">
      <c r="A43" s="93" t="s">
        <v>50</v>
      </c>
      <c r="B43" s="94"/>
      <c r="C43" s="95"/>
      <c r="D43" s="58"/>
      <c r="E43" s="93" t="s">
        <v>57</v>
      </c>
      <c r="F43" s="94"/>
      <c r="G43" s="94"/>
      <c r="H43" s="94"/>
      <c r="I43" s="95"/>
    </row>
    <row r="44" spans="1:10" ht="13.5" thickBot="1" x14ac:dyDescent="0.25">
      <c r="A44" s="8" t="s">
        <v>70</v>
      </c>
      <c r="B44" s="15"/>
      <c r="C44" s="77">
        <f>C26</f>
        <v>23474.126800628819</v>
      </c>
      <c r="E44" s="73" t="s">
        <v>49</v>
      </c>
      <c r="F44" s="71"/>
      <c r="G44" s="71"/>
      <c r="H44" s="71"/>
      <c r="I44" s="74">
        <f>H33</f>
        <v>61502.5</v>
      </c>
    </row>
    <row r="45" spans="1:10" ht="13.5" thickBot="1" x14ac:dyDescent="0.25">
      <c r="A45" s="8" t="s">
        <v>4</v>
      </c>
      <c r="B45" s="15" t="s">
        <v>4</v>
      </c>
      <c r="C45" s="59" t="s">
        <v>4</v>
      </c>
    </row>
    <row r="46" spans="1:10" ht="13.5" thickBot="1" x14ac:dyDescent="0.25">
      <c r="A46" s="8" t="s">
        <v>74</v>
      </c>
      <c r="B46" s="15"/>
      <c r="C46" s="59">
        <f>IF(C44&lt;0,0,(C44/C18))</f>
        <v>0.33062150423420872</v>
      </c>
      <c r="E46" s="88" t="s">
        <v>62</v>
      </c>
      <c r="F46" s="89"/>
      <c r="G46" s="89"/>
      <c r="H46" s="89"/>
      <c r="I46" s="90"/>
    </row>
    <row r="47" spans="1:10" x14ac:dyDescent="0.2">
      <c r="A47" s="8" t="s">
        <v>51</v>
      </c>
      <c r="B47" s="15"/>
      <c r="C47" s="60">
        <f>IF(C31&lt;0,"No Refinace Funds",C31)</f>
        <v>34000</v>
      </c>
      <c r="E47" s="96" t="s">
        <v>63</v>
      </c>
      <c r="F47" s="97"/>
      <c r="G47" s="98" t="s">
        <v>65</v>
      </c>
      <c r="H47" s="98"/>
      <c r="I47" s="99"/>
    </row>
    <row r="48" spans="1:10" ht="13.5" thickBot="1" x14ac:dyDescent="0.25">
      <c r="A48" s="61"/>
      <c r="B48" s="15"/>
      <c r="C48" s="62"/>
      <c r="E48" s="80"/>
      <c r="F48" s="81"/>
      <c r="G48" s="100"/>
      <c r="H48" s="100"/>
      <c r="I48" s="101"/>
    </row>
    <row r="49" spans="1:9" ht="13.5" thickBot="1" x14ac:dyDescent="0.25">
      <c r="A49" s="93" t="s">
        <v>52</v>
      </c>
      <c r="B49" s="94"/>
      <c r="C49" s="95"/>
      <c r="E49" s="80"/>
      <c r="F49" s="81"/>
      <c r="G49" s="100"/>
      <c r="H49" s="100"/>
      <c r="I49" s="101"/>
    </row>
    <row r="50" spans="1:9" ht="29.25" customHeight="1" x14ac:dyDescent="0.2">
      <c r="A50" s="8" t="s">
        <v>53</v>
      </c>
      <c r="B50" s="15"/>
      <c r="C50" s="60">
        <f>IF(I44&lt;0,"No Funds Available",I44)</f>
        <v>61502.5</v>
      </c>
      <c r="E50" s="80"/>
      <c r="F50" s="81"/>
      <c r="G50" s="100"/>
      <c r="H50" s="100"/>
      <c r="I50" s="101"/>
    </row>
    <row r="51" spans="1:9" ht="37.5" customHeight="1" x14ac:dyDescent="0.2">
      <c r="A51" s="78" t="s">
        <v>54</v>
      </c>
      <c r="B51" s="79"/>
      <c r="C51" s="63">
        <f>IF(C44&lt;0,"&gt; Inflation Rate",(C44/I44))</f>
        <v>0.38167760335968165</v>
      </c>
      <c r="E51" s="80" t="s">
        <v>64</v>
      </c>
      <c r="F51" s="81"/>
      <c r="G51" s="84" t="s">
        <v>66</v>
      </c>
      <c r="H51" s="84"/>
      <c r="I51" s="85"/>
    </row>
    <row r="52" spans="1:9" x14ac:dyDescent="0.2">
      <c r="A52" s="16"/>
      <c r="B52" s="15"/>
      <c r="C52" s="12"/>
      <c r="E52" s="80"/>
      <c r="F52" s="81"/>
      <c r="G52" s="84"/>
      <c r="H52" s="84"/>
      <c r="I52" s="85"/>
    </row>
    <row r="53" spans="1:9" ht="38.25" customHeight="1" x14ac:dyDescent="0.2">
      <c r="A53" s="78" t="s">
        <v>55</v>
      </c>
      <c r="B53" s="79"/>
      <c r="C53" s="63">
        <f>IF(C51&lt;0,"The rate of Inflation",C51)</f>
        <v>0.38167760335968165</v>
      </c>
      <c r="E53" s="80" t="s">
        <v>67</v>
      </c>
      <c r="F53" s="81"/>
      <c r="G53" s="84" t="s">
        <v>68</v>
      </c>
      <c r="H53" s="84"/>
      <c r="I53" s="85"/>
    </row>
    <row r="54" spans="1:9" ht="13.5" thickBot="1" x14ac:dyDescent="0.25">
      <c r="A54" s="56"/>
      <c r="B54" s="38"/>
      <c r="C54" s="36"/>
      <c r="E54" s="82"/>
      <c r="F54" s="83"/>
      <c r="G54" s="86"/>
      <c r="H54" s="86"/>
      <c r="I54" s="87"/>
    </row>
  </sheetData>
  <sheetProtection algorithmName="SHA-512" hashValue="lWZzYXpP0w0NZ4VLceb9dzAfD+HlOc4mH+/v2/ip+ia4hzJabMtSzwyCrBpSJEW03Qh9BzD0adsyY/4lKpMgaA==" saltValue="vzREBFx+jr5SbCuVu/y4dw==" spinCount="100000" sheet="1" formatColumns="0" selectLockedCells="1"/>
  <mergeCells count="45">
    <mergeCell ref="A1:I1"/>
    <mergeCell ref="A13:B13"/>
    <mergeCell ref="A14:B14"/>
    <mergeCell ref="A15:B15"/>
    <mergeCell ref="A12:B12"/>
    <mergeCell ref="A2:I2"/>
    <mergeCell ref="A3:I3"/>
    <mergeCell ref="A4:C4"/>
    <mergeCell ref="E4:I4"/>
    <mergeCell ref="A5:B5"/>
    <mergeCell ref="A6:B6"/>
    <mergeCell ref="A7:B7"/>
    <mergeCell ref="A8:B8"/>
    <mergeCell ref="A9:B9"/>
    <mergeCell ref="A10:B10"/>
    <mergeCell ref="A11:B11"/>
    <mergeCell ref="A16:B16"/>
    <mergeCell ref="A20:B20"/>
    <mergeCell ref="E22:I22"/>
    <mergeCell ref="A23:B23"/>
    <mergeCell ref="A24:B24"/>
    <mergeCell ref="A25:B25"/>
    <mergeCell ref="E25:F25"/>
    <mergeCell ref="A26:B26"/>
    <mergeCell ref="E26:F26"/>
    <mergeCell ref="A22:C22"/>
    <mergeCell ref="A28:B28"/>
    <mergeCell ref="A29:B29"/>
    <mergeCell ref="A30:B30"/>
    <mergeCell ref="A31:B31"/>
    <mergeCell ref="A34:B34"/>
    <mergeCell ref="A53:B53"/>
    <mergeCell ref="E53:F54"/>
    <mergeCell ref="G53:I54"/>
    <mergeCell ref="E36:I36"/>
    <mergeCell ref="A40:B40"/>
    <mergeCell ref="A43:C43"/>
    <mergeCell ref="A49:C49"/>
    <mergeCell ref="A51:B51"/>
    <mergeCell ref="E46:I46"/>
    <mergeCell ref="E47:F50"/>
    <mergeCell ref="G47:I50"/>
    <mergeCell ref="E51:F52"/>
    <mergeCell ref="G51:I52"/>
    <mergeCell ref="E43:I43"/>
  </mergeCells>
  <conditionalFormatting sqref="H20">
    <cfRule type="expression" dxfId="11" priority="11" stopIfTrue="1">
      <formula>$H$20&lt;0</formula>
    </cfRule>
    <cfRule type="expression" dxfId="10" priority="12">
      <formula>$H$20=0</formula>
    </cfRule>
  </conditionalFormatting>
  <conditionalFormatting sqref="C25">
    <cfRule type="expression" dxfId="9" priority="10" stopIfTrue="1">
      <formula>$C$25&lt;0</formula>
    </cfRule>
  </conditionalFormatting>
  <conditionalFormatting sqref="C24">
    <cfRule type="expression" dxfId="8" priority="9">
      <formula>$C$24&lt;0</formula>
    </cfRule>
  </conditionalFormatting>
  <conditionalFormatting sqref="C26">
    <cfRule type="expression" dxfId="7" priority="8">
      <formula>$C$26&lt;0</formula>
    </cfRule>
  </conditionalFormatting>
  <conditionalFormatting sqref="C31">
    <cfRule type="expression" dxfId="6" priority="7">
      <formula>$C$31&lt;0</formula>
    </cfRule>
  </conditionalFormatting>
  <conditionalFormatting sqref="C44">
    <cfRule type="expression" dxfId="5" priority="6">
      <formula>$C$44&lt;0</formula>
    </cfRule>
  </conditionalFormatting>
  <conditionalFormatting sqref="C45">
    <cfRule type="expression" dxfId="4" priority="5">
      <formula>$C$45&lt;0</formula>
    </cfRule>
  </conditionalFormatting>
  <conditionalFormatting sqref="C46">
    <cfRule type="expression" dxfId="3" priority="4">
      <formula>$C$46&lt;0</formula>
    </cfRule>
  </conditionalFormatting>
  <conditionalFormatting sqref="C50">
    <cfRule type="expression" dxfId="2" priority="3">
      <formula>$C$50&lt;0</formula>
    </cfRule>
  </conditionalFormatting>
  <conditionalFormatting sqref="C51">
    <cfRule type="expression" dxfId="1" priority="2">
      <formula>$C$51&lt;0</formula>
    </cfRule>
  </conditionalFormatting>
  <conditionalFormatting sqref="C47">
    <cfRule type="expression" dxfId="0" priority="1">
      <formula>$C$46&lt;0</formula>
    </cfRule>
  </conditionalFormatting>
  <pageMargins left="0.75" right="0.75" top="1" bottom="1" header="0.5" footer="0.5"/>
  <pageSetup paperSize="9" scale="68" orientation="landscape" horizontalDpi="4294967292" vertic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KeepSell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Franks</dc:creator>
  <cp:lastModifiedBy>Windows User</cp:lastModifiedBy>
  <dcterms:created xsi:type="dcterms:W3CDTF">2018-03-09T02:47:10Z</dcterms:created>
  <dcterms:modified xsi:type="dcterms:W3CDTF">2022-03-14T00:15:54Z</dcterms:modified>
</cp:coreProperties>
</file>